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tiff" ContentType="image/tif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3.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8.xml" ContentType="application/vnd.openxmlformats-officedocument.drawing+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drawings/drawing9.xml" ContentType="application/vnd.openxmlformats-officedocument.drawing+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comments1.xml" ContentType="application/vnd.openxmlformats-officedocument.spreadsheetml.comments+xml"/>
  <Override PartName="/xl/drawings/drawing12.xml" ContentType="application/vnd.openxmlformats-officedocument.drawing+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8.xml" ContentType="application/vnd.openxmlformats-officedocument.drawing+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9.xml" ContentType="application/vnd.openxmlformats-officedocument.drawing+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drawings/drawing21.xml" ContentType="application/vnd.openxmlformats-officedocument.drawing+xml"/>
  <Override PartName="/xl/charts/chart32.xml" ContentType="application/vnd.openxmlformats-officedocument.drawingml.chart+xml"/>
  <Override PartName="/xl/drawings/drawing22.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Engagement\YMCAS\Ops\Multicultural Affairs\"/>
    </mc:Choice>
  </mc:AlternateContent>
  <workbookProtection workbookPassword="C6DE" lockStructure="1"/>
  <bookViews>
    <workbookView xWindow="1545" yWindow="465" windowWidth="24540" windowHeight="15600"/>
  </bookViews>
  <sheets>
    <sheet name="Index " sheetId="34" r:id="rId1"/>
    <sheet name="Summary" sheetId="48" r:id="rId2"/>
    <sheet name="3.1 Northern Territory" sheetId="35" r:id="rId3"/>
    <sheet name="3.2 Alice Springs" sheetId="6" r:id="rId4"/>
    <sheet name="3.3 Barkly" sheetId="7" r:id="rId5"/>
    <sheet name="3.4 Belyuen" sheetId="20" r:id="rId6"/>
    <sheet name="3.5 Central Desert" sheetId="23" r:id="rId7"/>
    <sheet name="3.6 Coomalie" sheetId="21" r:id="rId8"/>
    <sheet name="3.7 Darwin" sheetId="36" r:id="rId9"/>
    <sheet name="3.8 East Arnhem" sheetId="24" r:id="rId10"/>
    <sheet name="3.9 Katherine" sheetId="26" r:id="rId11"/>
    <sheet name="3.10 Litchfield" sheetId="37" r:id="rId12"/>
    <sheet name="3.11 MacDonnell" sheetId="27" r:id="rId13"/>
    <sheet name="3.12 Palmerston" sheetId="47" r:id="rId14"/>
    <sheet name="3.13 Roper Gulf" sheetId="29" r:id="rId15"/>
    <sheet name="3.14 Tiwi Islands" sheetId="25" r:id="rId16"/>
    <sheet name="3.15 Victoria Daly" sheetId="28" r:id="rId17"/>
    <sheet name="3.16 Wagait" sheetId="30" r:id="rId18"/>
    <sheet name="3.17 West Arnhem" sheetId="31" r:id="rId19"/>
    <sheet name="3.18 West Daly LGA" sheetId="32" r:id="rId20"/>
    <sheet name="Chart 3.1" sheetId="39" r:id="rId21"/>
    <sheet name="Chart 3.2" sheetId="40" r:id="rId22"/>
    <sheet name="Chart 3.3" sheetId="41" r:id="rId23"/>
    <sheet name="Pyramid 3.4" sheetId="42" r:id="rId24"/>
    <sheet name="Appendix A" sheetId="43" r:id="rId25"/>
    <sheet name="Appendix B" sheetId="44" r:id="rId26"/>
    <sheet name="Appendix C" sheetId="45" r:id="rId27"/>
    <sheet name="Appendix D" sheetId="46" r:id="rId28"/>
  </sheets>
  <definedNames>
    <definedName name="_xlnm.Print_Area" localSheetId="12">'3.11 MacDonnell'!$B$1:$K$241</definedName>
    <definedName name="_xlnm.Print_Area" localSheetId="14">'3.13 Roper Gulf'!$B$1:$K$240</definedName>
    <definedName name="_xlnm.Print_Area" localSheetId="15">'3.14 Tiwi Islands'!$B$1:$K$238</definedName>
    <definedName name="_xlnm.Print_Area" localSheetId="16">'3.15 Victoria Daly'!$B$1:$K$238</definedName>
    <definedName name="_xlnm.Print_Area" localSheetId="17">'3.16 Wagait'!$B$1:$K$239</definedName>
    <definedName name="_xlnm.Print_Area" localSheetId="18">'3.17 West Arnhem'!$B$1:$K$240</definedName>
    <definedName name="_xlnm.Print_Area" localSheetId="19">'3.18 West Daly LGA'!$B$1:$K$242</definedName>
    <definedName name="_xlnm.Print_Area" localSheetId="4">'3.3 Barkly'!$B$1:$K$247</definedName>
    <definedName name="_xlnm.Print_Area" localSheetId="5">'3.4 Belyuen'!$B$1:$K$236</definedName>
    <definedName name="_xlnm.Print_Area" localSheetId="6">'3.5 Central Desert'!$B$1:$K$240</definedName>
    <definedName name="_xlnm.Print_Area" localSheetId="7">'3.6 Coomalie'!$B$1:$K$240</definedName>
    <definedName name="_xlnm.Print_Area" localSheetId="9">'3.8 East Arnhem'!$B$1:$K$238</definedName>
    <definedName name="_xlnm.Print_Area" localSheetId="10">'3.9 Katherine'!$B$1:$K$260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5" i="29" l="1"/>
  <c r="H186" i="29"/>
  <c r="H187" i="29"/>
  <c r="H188" i="29"/>
  <c r="H189" i="29"/>
  <c r="H190" i="29"/>
  <c r="H191" i="29"/>
  <c r="H192" i="29"/>
  <c r="H193" i="29"/>
  <c r="H194" i="29"/>
  <c r="H195" i="29"/>
  <c r="H196" i="29"/>
  <c r="H201" i="29"/>
  <c r="H202" i="29"/>
  <c r="H203" i="29"/>
  <c r="H204" i="29"/>
  <c r="H205" i="29"/>
  <c r="H206" i="29"/>
  <c r="F24" i="47"/>
  <c r="G24" i="47" s="1"/>
  <c r="F23" i="47"/>
  <c r="G23" i="47"/>
  <c r="F22" i="47"/>
  <c r="G22" i="47" s="1"/>
  <c r="F21" i="47"/>
  <c r="G21" i="47"/>
  <c r="F20" i="47"/>
  <c r="G20" i="47" s="1"/>
  <c r="C19" i="47"/>
  <c r="F19" i="47"/>
  <c r="G19" i="47"/>
  <c r="F18" i="47"/>
  <c r="G18" i="47" s="1"/>
  <c r="F17" i="47"/>
  <c r="G17" i="47"/>
  <c r="F16" i="47"/>
  <c r="G16" i="47" s="1"/>
  <c r="F15" i="47"/>
  <c r="G15" i="47"/>
  <c r="F14" i="47"/>
  <c r="G14" i="47" s="1"/>
  <c r="G14" i="37"/>
  <c r="G15" i="37"/>
  <c r="G16" i="37"/>
  <c r="G17" i="37"/>
  <c r="C18" i="37"/>
  <c r="G18" i="37"/>
  <c r="G19" i="37"/>
  <c r="G20" i="37"/>
  <c r="G21" i="37"/>
  <c r="G22" i="37"/>
  <c r="G23" i="37"/>
  <c r="G13" i="37"/>
  <c r="F13" i="37"/>
  <c r="F14" i="37"/>
  <c r="F15" i="37"/>
  <c r="F16" i="37"/>
  <c r="F17" i="37"/>
  <c r="F18" i="37"/>
  <c r="F19" i="37"/>
  <c r="F20" i="37"/>
  <c r="F21" i="37"/>
  <c r="F22" i="37"/>
  <c r="F23" i="37"/>
  <c r="F15" i="26"/>
  <c r="F16" i="35"/>
  <c r="F17" i="35"/>
  <c r="F18" i="35"/>
  <c r="F19" i="35"/>
  <c r="F20" i="35"/>
  <c r="F21" i="35"/>
  <c r="F22" i="35"/>
  <c r="F23" i="35"/>
  <c r="F24" i="35"/>
  <c r="F25" i="35"/>
  <c r="F15" i="35"/>
  <c r="G16" i="35"/>
  <c r="G17" i="35"/>
  <c r="G18" i="35"/>
  <c r="G19" i="35"/>
  <c r="G20" i="35"/>
  <c r="G21" i="35"/>
  <c r="G22" i="35"/>
  <c r="G23" i="35"/>
  <c r="G24" i="35"/>
  <c r="G25" i="35"/>
  <c r="G15" i="35"/>
  <c r="D15" i="23"/>
  <c r="H55" i="47"/>
  <c r="F55" i="47"/>
  <c r="H54" i="47"/>
  <c r="F54" i="47"/>
  <c r="H53" i="47"/>
  <c r="F53" i="47"/>
  <c r="H52" i="47"/>
  <c r="F52" i="47"/>
  <c r="H51" i="47"/>
  <c r="F51" i="47"/>
  <c r="H50" i="47"/>
  <c r="F50" i="47"/>
  <c r="H49" i="47"/>
  <c r="F49" i="47"/>
  <c r="H48" i="47"/>
  <c r="F48" i="47"/>
  <c r="H47" i="47"/>
  <c r="F47" i="47"/>
  <c r="H46" i="47"/>
  <c r="F46" i="47"/>
  <c r="H45" i="47"/>
  <c r="F45" i="47"/>
  <c r="H44" i="47"/>
  <c r="F44" i="47"/>
  <c r="H43" i="47"/>
  <c r="F43" i="47"/>
  <c r="H42" i="47"/>
  <c r="F42" i="47"/>
  <c r="H41" i="47"/>
  <c r="F41" i="47"/>
  <c r="H40" i="47"/>
  <c r="F40" i="47"/>
  <c r="H39" i="47"/>
  <c r="F39" i="47"/>
  <c r="H38" i="47"/>
  <c r="F38" i="47"/>
  <c r="H37" i="47"/>
  <c r="F37" i="47"/>
  <c r="H36" i="47"/>
  <c r="F36" i="47"/>
  <c r="H35" i="47"/>
  <c r="F35" i="47"/>
  <c r="H34" i="47"/>
  <c r="F34" i="47"/>
  <c r="H33" i="47"/>
  <c r="F33" i="47"/>
  <c r="H32" i="47"/>
  <c r="F32" i="47"/>
  <c r="H31" i="47"/>
  <c r="F31" i="47"/>
  <c r="H30" i="47"/>
  <c r="F30" i="47"/>
  <c r="D24" i="47"/>
  <c r="D23" i="47"/>
  <c r="D22" i="47"/>
  <c r="D21" i="47"/>
  <c r="D20" i="47"/>
  <c r="D19" i="47"/>
  <c r="D18" i="47"/>
  <c r="D17" i="47"/>
  <c r="D16" i="47"/>
  <c r="D15" i="47"/>
  <c r="D14" i="47"/>
  <c r="F15" i="24"/>
  <c r="G15" i="24" s="1"/>
  <c r="F16" i="24"/>
  <c r="G16" i="24"/>
  <c r="F17" i="24"/>
  <c r="G17" i="24" s="1"/>
  <c r="F18" i="24"/>
  <c r="G18" i="24"/>
  <c r="F19" i="24"/>
  <c r="G19" i="24" s="1"/>
  <c r="F20" i="24"/>
  <c r="G20" i="24"/>
  <c r="F21" i="24"/>
  <c r="G21" i="24" s="1"/>
  <c r="F22" i="24"/>
  <c r="G22" i="24"/>
  <c r="F23" i="24"/>
  <c r="G23" i="24" s="1"/>
  <c r="F24" i="24"/>
  <c r="G24" i="24"/>
  <c r="F25" i="24"/>
  <c r="G25" i="24" s="1"/>
  <c r="H184" i="28"/>
  <c r="H185" i="28"/>
  <c r="H186" i="28"/>
  <c r="H187" i="28"/>
  <c r="H188" i="28"/>
  <c r="H189" i="28"/>
  <c r="H190" i="28"/>
  <c r="H191" i="28"/>
  <c r="H192" i="28"/>
  <c r="H193" i="28"/>
  <c r="H194" i="28"/>
  <c r="H195" i="28"/>
  <c r="H196" i="28"/>
  <c r="H204" i="28"/>
  <c r="H205" i="28"/>
  <c r="F186" i="32"/>
  <c r="F187" i="32"/>
  <c r="F188" i="32"/>
  <c r="F189" i="32"/>
  <c r="F190" i="32"/>
  <c r="F191" i="32"/>
  <c r="F192" i="32"/>
  <c r="F193" i="32"/>
  <c r="F194" i="32"/>
  <c r="F195" i="32"/>
  <c r="F196" i="32"/>
  <c r="F197" i="32"/>
  <c r="F198" i="32"/>
  <c r="F199" i="32"/>
  <c r="F200" i="32"/>
  <c r="F201" i="32"/>
  <c r="F202" i="32"/>
  <c r="F203" i="32"/>
  <c r="F204" i="32"/>
  <c r="F205" i="32"/>
  <c r="F206" i="32"/>
  <c r="F207" i="32"/>
  <c r="I186" i="32"/>
  <c r="I187" i="32"/>
  <c r="I188" i="32"/>
  <c r="I189" i="32"/>
  <c r="I190" i="32"/>
  <c r="I191" i="32"/>
  <c r="I192" i="32"/>
  <c r="I193" i="32"/>
  <c r="I194" i="32"/>
  <c r="I195" i="32"/>
  <c r="I196" i="32"/>
  <c r="I197" i="32"/>
  <c r="I198" i="32"/>
  <c r="I199" i="32"/>
  <c r="I200" i="32"/>
  <c r="I201" i="32"/>
  <c r="I202" i="32"/>
  <c r="I203" i="32"/>
  <c r="I204" i="32"/>
  <c r="I205" i="32"/>
  <c r="I206" i="32"/>
  <c r="I207" i="32"/>
  <c r="H186" i="32"/>
  <c r="H187" i="32"/>
  <c r="H188" i="32"/>
  <c r="H189" i="32"/>
  <c r="H190" i="32"/>
  <c r="H191" i="32"/>
  <c r="H192" i="32"/>
  <c r="H193" i="32"/>
  <c r="H194" i="32"/>
  <c r="H195" i="32"/>
  <c r="H196" i="32"/>
  <c r="H197" i="32"/>
  <c r="H198" i="32"/>
  <c r="H199" i="32"/>
  <c r="H200" i="32"/>
  <c r="H201" i="32"/>
  <c r="H202" i="32"/>
  <c r="H203" i="32"/>
  <c r="H204" i="32"/>
  <c r="H205" i="32"/>
  <c r="H206" i="32"/>
  <c r="H207" i="32"/>
  <c r="H184" i="31"/>
  <c r="H185" i="31"/>
  <c r="H186" i="31"/>
  <c r="H187" i="31"/>
  <c r="H188" i="31"/>
  <c r="H189" i="31"/>
  <c r="H190" i="31"/>
  <c r="H191" i="31"/>
  <c r="H192" i="31"/>
  <c r="H193" i="31"/>
  <c r="H194" i="31"/>
  <c r="H195" i="31"/>
  <c r="H196" i="31"/>
  <c r="H197" i="31"/>
  <c r="H198" i="31"/>
  <c r="H199" i="31"/>
  <c r="H200" i="31"/>
  <c r="H201" i="31"/>
  <c r="H202" i="31"/>
  <c r="H203" i="31"/>
  <c r="H204" i="31"/>
  <c r="H205" i="31"/>
  <c r="F184" i="31"/>
  <c r="F185" i="31"/>
  <c r="F186" i="31"/>
  <c r="F187" i="31"/>
  <c r="F188" i="31"/>
  <c r="F189" i="31"/>
  <c r="F190" i="31"/>
  <c r="F191" i="31"/>
  <c r="F192" i="31"/>
  <c r="F193" i="31"/>
  <c r="F194" i="31"/>
  <c r="F195" i="31"/>
  <c r="F196" i="31"/>
  <c r="F197" i="31"/>
  <c r="F198" i="31"/>
  <c r="F199" i="31"/>
  <c r="F200" i="31"/>
  <c r="F201" i="31"/>
  <c r="F202" i="31"/>
  <c r="F203" i="31"/>
  <c r="F204" i="31"/>
  <c r="F205" i="31"/>
  <c r="I184" i="31"/>
  <c r="I185" i="31"/>
  <c r="I186" i="31"/>
  <c r="I187" i="31"/>
  <c r="I188" i="31"/>
  <c r="I189" i="31"/>
  <c r="I190" i="31"/>
  <c r="I191" i="31"/>
  <c r="I192" i="31"/>
  <c r="I193" i="31"/>
  <c r="I194" i="31"/>
  <c r="I195" i="31"/>
  <c r="I196" i="31"/>
  <c r="I197" i="31"/>
  <c r="I198" i="31"/>
  <c r="I199" i="31"/>
  <c r="I200" i="31"/>
  <c r="I201" i="31"/>
  <c r="I202" i="31"/>
  <c r="I203" i="31"/>
  <c r="I204" i="31"/>
  <c r="I205" i="31"/>
  <c r="F184" i="30"/>
  <c r="F185" i="30"/>
  <c r="F186" i="30"/>
  <c r="F187" i="30"/>
  <c r="F188" i="30"/>
  <c r="F189" i="30"/>
  <c r="F190" i="30"/>
  <c r="F191" i="30"/>
  <c r="F192" i="30"/>
  <c r="F204" i="30"/>
  <c r="F205" i="30"/>
  <c r="I184" i="30"/>
  <c r="I185" i="30"/>
  <c r="I186" i="30"/>
  <c r="I187" i="30"/>
  <c r="I188" i="30"/>
  <c r="I189" i="30"/>
  <c r="I190" i="30"/>
  <c r="I191" i="30"/>
  <c r="I192" i="30"/>
  <c r="I204" i="30"/>
  <c r="I205" i="30"/>
  <c r="E206" i="30"/>
  <c r="H206" i="30" s="1"/>
  <c r="G206" i="30"/>
  <c r="F184" i="28"/>
  <c r="F185" i="28"/>
  <c r="F186" i="28"/>
  <c r="F187" i="28"/>
  <c r="F188" i="28"/>
  <c r="F189" i="28"/>
  <c r="F190" i="28"/>
  <c r="F191" i="28"/>
  <c r="F192" i="28"/>
  <c r="F193" i="28"/>
  <c r="F194" i="28"/>
  <c r="F195" i="28"/>
  <c r="F196" i="28"/>
  <c r="F204" i="28"/>
  <c r="F205" i="28"/>
  <c r="I184" i="28"/>
  <c r="I185" i="28"/>
  <c r="I186" i="28"/>
  <c r="I187" i="28"/>
  <c r="I188" i="28"/>
  <c r="I189" i="28"/>
  <c r="I190" i="28"/>
  <c r="I191" i="28"/>
  <c r="I192" i="28"/>
  <c r="I193" i="28"/>
  <c r="I194" i="28"/>
  <c r="I195" i="28"/>
  <c r="I196" i="28"/>
  <c r="I204" i="28"/>
  <c r="I205" i="28"/>
  <c r="F185" i="29"/>
  <c r="F186" i="29"/>
  <c r="F187" i="29"/>
  <c r="F188" i="29"/>
  <c r="F189" i="29"/>
  <c r="F190" i="29"/>
  <c r="F191" i="29"/>
  <c r="F192" i="29"/>
  <c r="F193" i="29"/>
  <c r="F194" i="29"/>
  <c r="F195" i="29"/>
  <c r="F196" i="29"/>
  <c r="F197" i="29"/>
  <c r="F198" i="29"/>
  <c r="F199" i="29"/>
  <c r="F200" i="29"/>
  <c r="F205" i="29"/>
  <c r="F206" i="29"/>
  <c r="I185" i="29"/>
  <c r="I186" i="29"/>
  <c r="I187" i="29"/>
  <c r="I188" i="29"/>
  <c r="I189" i="29"/>
  <c r="I190" i="29"/>
  <c r="I191" i="29"/>
  <c r="I192" i="29"/>
  <c r="I193" i="29"/>
  <c r="I194" i="29"/>
  <c r="I196" i="29"/>
  <c r="I205" i="29"/>
  <c r="I206" i="29"/>
  <c r="F184" i="25"/>
  <c r="F185" i="25"/>
  <c r="F186" i="25"/>
  <c r="F187" i="25"/>
  <c r="F188" i="25"/>
  <c r="F189" i="25"/>
  <c r="F190" i="25"/>
  <c r="F191" i="25"/>
  <c r="F192" i="25"/>
  <c r="F193" i="25"/>
  <c r="F194" i="25"/>
  <c r="F204" i="25"/>
  <c r="F205" i="25"/>
  <c r="I184" i="25"/>
  <c r="I185" i="25"/>
  <c r="I186" i="25"/>
  <c r="I187" i="25"/>
  <c r="I188" i="25"/>
  <c r="I189" i="25"/>
  <c r="I190" i="25"/>
  <c r="I191" i="25"/>
  <c r="I192" i="25"/>
  <c r="I193" i="25"/>
  <c r="I194" i="25"/>
  <c r="I204" i="25"/>
  <c r="I205" i="25"/>
  <c r="I185" i="27"/>
  <c r="I186" i="27"/>
  <c r="I187" i="27"/>
  <c r="I188" i="27"/>
  <c r="I189" i="27"/>
  <c r="I190" i="27"/>
  <c r="I191" i="27"/>
  <c r="I192" i="27"/>
  <c r="I193" i="27"/>
  <c r="I194" i="27"/>
  <c r="I195" i="27"/>
  <c r="I196" i="27"/>
  <c r="I197" i="27"/>
  <c r="I198" i="27"/>
  <c r="I205" i="27"/>
  <c r="I206" i="27"/>
  <c r="I205" i="26"/>
  <c r="I206" i="26"/>
  <c r="I207" i="26"/>
  <c r="I208" i="26"/>
  <c r="I209" i="26"/>
  <c r="I210" i="26"/>
  <c r="I211" i="26"/>
  <c r="I212" i="26"/>
  <c r="I213" i="26"/>
  <c r="I214" i="26"/>
  <c r="I215" i="26"/>
  <c r="I216" i="26"/>
  <c r="I217" i="26"/>
  <c r="I218" i="26"/>
  <c r="I219" i="26"/>
  <c r="I220" i="26"/>
  <c r="I221" i="26"/>
  <c r="I222" i="26"/>
  <c r="I223" i="26"/>
  <c r="I224" i="26"/>
  <c r="I225" i="26"/>
  <c r="I226" i="26"/>
  <c r="I185" i="24"/>
  <c r="I186" i="24"/>
  <c r="I187" i="24"/>
  <c r="I188" i="24"/>
  <c r="I189" i="24"/>
  <c r="I190" i="24"/>
  <c r="I191" i="24"/>
  <c r="I192" i="24"/>
  <c r="I193" i="24"/>
  <c r="I194" i="24"/>
  <c r="I195" i="24"/>
  <c r="I196" i="24"/>
  <c r="I197" i="24"/>
  <c r="I198" i="24"/>
  <c r="I199" i="24"/>
  <c r="I205" i="24"/>
  <c r="I206" i="24"/>
  <c r="F185" i="21"/>
  <c r="F186" i="21"/>
  <c r="F187" i="21"/>
  <c r="F188" i="21"/>
  <c r="F189" i="21"/>
  <c r="F190" i="21"/>
  <c r="F191" i="21"/>
  <c r="F192" i="21"/>
  <c r="F193" i="21"/>
  <c r="F194" i="21"/>
  <c r="F195" i="21"/>
  <c r="F196" i="21"/>
  <c r="F197" i="21"/>
  <c r="F198" i="21"/>
  <c r="F199" i="21"/>
  <c r="F200" i="21"/>
  <c r="F201" i="21"/>
  <c r="F202" i="21"/>
  <c r="F203" i="21"/>
  <c r="F204" i="21"/>
  <c r="F205" i="21"/>
  <c r="F206" i="21"/>
  <c r="H185" i="21"/>
  <c r="H186" i="21"/>
  <c r="H187" i="21"/>
  <c r="H188" i="21"/>
  <c r="H189" i="21"/>
  <c r="H190" i="21"/>
  <c r="H191" i="21"/>
  <c r="H192" i="21"/>
  <c r="H193" i="21"/>
  <c r="H194" i="21"/>
  <c r="H195" i="21"/>
  <c r="H196" i="21"/>
  <c r="H197" i="21"/>
  <c r="H198" i="21"/>
  <c r="H199" i="21"/>
  <c r="H200" i="21"/>
  <c r="H201" i="21"/>
  <c r="H202" i="21"/>
  <c r="H203" i="21"/>
  <c r="H204" i="21"/>
  <c r="H205" i="21"/>
  <c r="H206" i="21"/>
  <c r="H185" i="23"/>
  <c r="H186" i="23"/>
  <c r="H187" i="23"/>
  <c r="H188" i="23"/>
  <c r="H189" i="23"/>
  <c r="H190" i="23"/>
  <c r="H191" i="23"/>
  <c r="H192" i="23"/>
  <c r="H193" i="23"/>
  <c r="H194" i="23"/>
  <c r="H195" i="23"/>
  <c r="H196" i="23"/>
  <c r="H197" i="23"/>
  <c r="H198" i="23"/>
  <c r="H199" i="23"/>
  <c r="H205" i="23"/>
  <c r="H206" i="23"/>
  <c r="I185" i="20"/>
  <c r="I186" i="20"/>
  <c r="I187" i="20"/>
  <c r="I188" i="20"/>
  <c r="I189" i="20"/>
  <c r="I190" i="20"/>
  <c r="I191" i="20"/>
  <c r="I192" i="20"/>
  <c r="I193" i="20"/>
  <c r="I194" i="20"/>
  <c r="I195" i="20"/>
  <c r="I196" i="20"/>
  <c r="I197" i="20"/>
  <c r="I198" i="20"/>
  <c r="I199" i="20"/>
  <c r="I200" i="20"/>
  <c r="I201" i="20"/>
  <c r="I202" i="20"/>
  <c r="I203" i="20"/>
  <c r="I204" i="20"/>
  <c r="I205" i="20"/>
  <c r="I206" i="20"/>
  <c r="H185" i="20"/>
  <c r="H186" i="20"/>
  <c r="H187" i="20"/>
  <c r="H188" i="20"/>
  <c r="H189" i="20"/>
  <c r="H190" i="20"/>
  <c r="H191" i="20"/>
  <c r="H192" i="20"/>
  <c r="H193" i="20"/>
  <c r="H194" i="20"/>
  <c r="H195" i="20"/>
  <c r="H196" i="20"/>
  <c r="H197" i="20"/>
  <c r="H198" i="20"/>
  <c r="H199" i="20"/>
  <c r="H200" i="20"/>
  <c r="H201" i="20"/>
  <c r="H202" i="20"/>
  <c r="H203" i="20"/>
  <c r="H204" i="20"/>
  <c r="H205" i="20"/>
  <c r="H206" i="20"/>
  <c r="F185" i="20"/>
  <c r="F186" i="20"/>
  <c r="F187" i="20"/>
  <c r="F188" i="20"/>
  <c r="F189" i="20"/>
  <c r="F190" i="20"/>
  <c r="F191" i="20"/>
  <c r="F192" i="20"/>
  <c r="F193" i="20"/>
  <c r="F194" i="20"/>
  <c r="F195" i="20"/>
  <c r="F196" i="20"/>
  <c r="F197" i="20"/>
  <c r="F198" i="20"/>
  <c r="F199" i="20"/>
  <c r="F200" i="20"/>
  <c r="F201" i="20"/>
  <c r="F202" i="20"/>
  <c r="F203" i="20"/>
  <c r="F204" i="20"/>
  <c r="F205" i="20"/>
  <c r="F206" i="20"/>
  <c r="I195" i="7"/>
  <c r="I196" i="7"/>
  <c r="I197" i="7"/>
  <c r="I198" i="7"/>
  <c r="I199" i="7"/>
  <c r="I200" i="7"/>
  <c r="I201" i="7"/>
  <c r="I202" i="7"/>
  <c r="I203" i="7"/>
  <c r="I204" i="7"/>
  <c r="I205" i="7"/>
  <c r="I206" i="7"/>
  <c r="I207" i="7"/>
  <c r="I208" i="7"/>
  <c r="I209" i="7"/>
  <c r="I210" i="7"/>
  <c r="I211" i="7"/>
  <c r="I212" i="7"/>
  <c r="I213" i="7"/>
  <c r="I214" i="7"/>
  <c r="I215" i="7"/>
  <c r="I216" i="7"/>
  <c r="D23" i="37"/>
  <c r="D22" i="37"/>
  <c r="D21" i="37"/>
  <c r="D20" i="37"/>
  <c r="D19" i="37"/>
  <c r="D18" i="37"/>
  <c r="D17" i="37"/>
  <c r="D16" i="37"/>
  <c r="D15" i="37"/>
  <c r="D14" i="37"/>
  <c r="D13" i="37"/>
  <c r="I216" i="6"/>
  <c r="I217" i="6"/>
  <c r="I218" i="6"/>
  <c r="I219" i="6"/>
  <c r="I220" i="6"/>
  <c r="I221" i="6"/>
  <c r="I222" i="6"/>
  <c r="I223" i="6"/>
  <c r="I224" i="6"/>
  <c r="I225" i="6"/>
  <c r="I226" i="6"/>
  <c r="I227" i="6"/>
  <c r="I228" i="6"/>
  <c r="I229" i="6"/>
  <c r="I230" i="6"/>
  <c r="I231" i="6"/>
  <c r="I232" i="6"/>
  <c r="I233" i="6"/>
  <c r="I234" i="6"/>
  <c r="I235" i="6"/>
  <c r="G238" i="6"/>
  <c r="G236" i="6"/>
  <c r="I237" i="6"/>
  <c r="H232" i="6"/>
  <c r="D159" i="20"/>
  <c r="E159" i="20"/>
  <c r="F159" i="20"/>
  <c r="G159" i="20"/>
  <c r="H159" i="20"/>
  <c r="C159" i="20"/>
  <c r="D154" i="20"/>
  <c r="E154" i="20"/>
  <c r="F154" i="20"/>
  <c r="G154" i="20"/>
  <c r="H154" i="20"/>
  <c r="C154" i="20"/>
  <c r="D149" i="20"/>
  <c r="E149" i="20"/>
  <c r="F149" i="20"/>
  <c r="G149" i="20"/>
  <c r="H149" i="20"/>
  <c r="C149" i="20"/>
  <c r="C139" i="20"/>
  <c r="D144" i="20"/>
  <c r="E144" i="20"/>
  <c r="F144" i="20"/>
  <c r="G144" i="20"/>
  <c r="H144" i="20"/>
  <c r="C144" i="20"/>
  <c r="H139" i="20"/>
  <c r="G139" i="20"/>
  <c r="F139" i="20"/>
  <c r="E139" i="20"/>
  <c r="D139" i="20"/>
  <c r="D154" i="21"/>
  <c r="E154" i="21"/>
  <c r="F154" i="21"/>
  <c r="G154" i="21"/>
  <c r="H154" i="21"/>
  <c r="C154" i="21"/>
  <c r="D159" i="21"/>
  <c r="E159" i="21"/>
  <c r="F159" i="21"/>
  <c r="G159" i="21"/>
  <c r="H159" i="21"/>
  <c r="C159" i="21"/>
  <c r="D149" i="21"/>
  <c r="E149" i="21"/>
  <c r="F149" i="21"/>
  <c r="G149" i="21"/>
  <c r="H149" i="21"/>
  <c r="C149" i="21"/>
  <c r="D144" i="21"/>
  <c r="E144" i="21"/>
  <c r="F144" i="21"/>
  <c r="G144" i="21"/>
  <c r="H144" i="21"/>
  <c r="C144" i="21"/>
  <c r="D159" i="23"/>
  <c r="E159" i="23"/>
  <c r="F159" i="23"/>
  <c r="G159" i="23"/>
  <c r="H159" i="23"/>
  <c r="C159" i="23"/>
  <c r="D154" i="23"/>
  <c r="E154" i="23"/>
  <c r="F154" i="23"/>
  <c r="G154" i="23"/>
  <c r="H154" i="23"/>
  <c r="C154" i="23"/>
  <c r="D149" i="23"/>
  <c r="E149" i="23"/>
  <c r="F149" i="23"/>
  <c r="G149" i="23"/>
  <c r="H149" i="23"/>
  <c r="C149" i="23"/>
  <c r="D144" i="23"/>
  <c r="E144" i="23"/>
  <c r="F144" i="23"/>
  <c r="G144" i="23"/>
  <c r="H144" i="23"/>
  <c r="C144" i="23"/>
  <c r="D159" i="24"/>
  <c r="E159" i="24"/>
  <c r="F159" i="24"/>
  <c r="G159" i="24"/>
  <c r="H159" i="24"/>
  <c r="C159" i="24"/>
  <c r="D154" i="24"/>
  <c r="E154" i="24"/>
  <c r="F154" i="24"/>
  <c r="G154" i="24"/>
  <c r="H154" i="24"/>
  <c r="C154" i="24"/>
  <c r="D159" i="27"/>
  <c r="E159" i="27"/>
  <c r="F159" i="27"/>
  <c r="G159" i="27"/>
  <c r="H159" i="27"/>
  <c r="C159" i="27"/>
  <c r="D154" i="27"/>
  <c r="E154" i="27"/>
  <c r="F154" i="27"/>
  <c r="G154" i="27"/>
  <c r="H154" i="27"/>
  <c r="C154" i="27"/>
  <c r="D159" i="28"/>
  <c r="E159" i="28"/>
  <c r="F159" i="28"/>
  <c r="G159" i="28"/>
  <c r="H159" i="28"/>
  <c r="C159" i="28"/>
  <c r="D154" i="28"/>
  <c r="E154" i="28"/>
  <c r="F154" i="28"/>
  <c r="G154" i="28"/>
  <c r="H154" i="28"/>
  <c r="C154" i="28"/>
  <c r="D149" i="28"/>
  <c r="E149" i="28"/>
  <c r="F149" i="28"/>
  <c r="G149" i="28"/>
  <c r="H149" i="28"/>
  <c r="C149" i="28"/>
  <c r="H144" i="28"/>
  <c r="D144" i="28"/>
  <c r="E144" i="28"/>
  <c r="F144" i="28"/>
  <c r="G144" i="28"/>
  <c r="C144" i="28"/>
  <c r="D164" i="30"/>
  <c r="E159" i="30"/>
  <c r="F159" i="30"/>
  <c r="G159" i="30"/>
  <c r="H159" i="30"/>
  <c r="I159" i="30"/>
  <c r="D159" i="30"/>
  <c r="E154" i="30"/>
  <c r="F154" i="30"/>
  <c r="G154" i="30"/>
  <c r="H154" i="30"/>
  <c r="I154" i="30"/>
  <c r="D154" i="30"/>
  <c r="E149" i="30"/>
  <c r="F149" i="30"/>
  <c r="G149" i="30"/>
  <c r="H149" i="30"/>
  <c r="I149" i="30"/>
  <c r="D149" i="30"/>
  <c r="E144" i="30"/>
  <c r="F144" i="30"/>
  <c r="G144" i="30"/>
  <c r="H144" i="30"/>
  <c r="I144" i="30"/>
  <c r="D144" i="30"/>
  <c r="E139" i="30"/>
  <c r="F139" i="30"/>
  <c r="G139" i="30"/>
  <c r="H139" i="30"/>
  <c r="I139" i="30"/>
  <c r="D139" i="30"/>
  <c r="D130" i="32"/>
  <c r="E130" i="32"/>
  <c r="C130" i="32"/>
  <c r="H118" i="31"/>
  <c r="H119" i="31"/>
  <c r="H120" i="31"/>
  <c r="H121" i="31"/>
  <c r="H122" i="31"/>
  <c r="H123" i="31"/>
  <c r="H124" i="31"/>
  <c r="H125" i="31"/>
  <c r="H126" i="31"/>
  <c r="H127" i="31"/>
  <c r="E128" i="31"/>
  <c r="H128" i="31"/>
  <c r="D128" i="31"/>
  <c r="C128" i="31"/>
  <c r="H129" i="30"/>
  <c r="E128" i="30"/>
  <c r="H128" i="30" s="1"/>
  <c r="F118" i="30"/>
  <c r="F119" i="30"/>
  <c r="F120" i="30"/>
  <c r="F121" i="30"/>
  <c r="F122" i="30"/>
  <c r="F123" i="30"/>
  <c r="F124" i="30"/>
  <c r="F125" i="30"/>
  <c r="F126" i="30"/>
  <c r="F127" i="30"/>
  <c r="H118" i="30"/>
  <c r="H119" i="30"/>
  <c r="H120" i="30"/>
  <c r="H121" i="30"/>
  <c r="H122" i="30"/>
  <c r="H123" i="30"/>
  <c r="H124" i="30"/>
  <c r="H125" i="30"/>
  <c r="H126" i="30"/>
  <c r="H127" i="30"/>
  <c r="D128" i="28"/>
  <c r="E128" i="28"/>
  <c r="F128" i="28" s="1"/>
  <c r="C128" i="28"/>
  <c r="F118" i="28"/>
  <c r="F119" i="28"/>
  <c r="F120" i="28"/>
  <c r="F121" i="28"/>
  <c r="F122" i="28"/>
  <c r="F123" i="28"/>
  <c r="F124" i="28"/>
  <c r="F125" i="28"/>
  <c r="F126" i="28"/>
  <c r="F127" i="28"/>
  <c r="G129" i="28"/>
  <c r="H129" i="28"/>
  <c r="D128" i="25"/>
  <c r="E128" i="25"/>
  <c r="H128" i="25" s="1"/>
  <c r="C128" i="25"/>
  <c r="F118" i="25"/>
  <c r="F119" i="25"/>
  <c r="F120" i="25"/>
  <c r="F121" i="25"/>
  <c r="F122" i="25"/>
  <c r="F123" i="25"/>
  <c r="F124" i="25"/>
  <c r="F125" i="25"/>
  <c r="F126" i="25"/>
  <c r="F127" i="25"/>
  <c r="H127" i="25"/>
  <c r="H126" i="25"/>
  <c r="G129" i="25"/>
  <c r="H129" i="25"/>
  <c r="H118" i="25"/>
  <c r="H119" i="25"/>
  <c r="H120" i="25"/>
  <c r="H121" i="25"/>
  <c r="H122" i="25"/>
  <c r="H123" i="25"/>
  <c r="H124" i="25"/>
  <c r="H125" i="25"/>
  <c r="G129" i="29"/>
  <c r="G128" i="29" s="1"/>
  <c r="H128" i="29" s="1"/>
  <c r="H129" i="29"/>
  <c r="H118" i="29"/>
  <c r="H119" i="29"/>
  <c r="H120" i="29"/>
  <c r="H121" i="29"/>
  <c r="H122" i="29"/>
  <c r="H123" i="29"/>
  <c r="H124" i="29"/>
  <c r="H125" i="29"/>
  <c r="H126" i="29"/>
  <c r="H127" i="29"/>
  <c r="E128" i="29"/>
  <c r="F118" i="29"/>
  <c r="F119" i="29"/>
  <c r="F120" i="29"/>
  <c r="F121" i="29"/>
  <c r="F122" i="29"/>
  <c r="F123" i="29"/>
  <c r="F124" i="29"/>
  <c r="F125" i="29"/>
  <c r="F126" i="29"/>
  <c r="F127" i="29"/>
  <c r="D128" i="29"/>
  <c r="C128" i="29"/>
  <c r="G129" i="27"/>
  <c r="H129" i="27" s="1"/>
  <c r="H118" i="27"/>
  <c r="H119" i="27"/>
  <c r="H120" i="27"/>
  <c r="H121" i="27"/>
  <c r="H122" i="27"/>
  <c r="H123" i="27"/>
  <c r="H124" i="27"/>
  <c r="H125" i="27"/>
  <c r="H126" i="27"/>
  <c r="H127" i="27"/>
  <c r="G128" i="27"/>
  <c r="H128" i="27" s="1"/>
  <c r="E128" i="27"/>
  <c r="C128" i="27"/>
  <c r="D128" i="27"/>
  <c r="G149" i="26"/>
  <c r="H149" i="26"/>
  <c r="F128" i="26"/>
  <c r="F129" i="26"/>
  <c r="F130" i="26"/>
  <c r="F131" i="26"/>
  <c r="F132" i="26"/>
  <c r="F133" i="26"/>
  <c r="F134" i="26"/>
  <c r="F135" i="26"/>
  <c r="F136" i="26"/>
  <c r="F137" i="26"/>
  <c r="F138" i="26"/>
  <c r="F139" i="26"/>
  <c r="F140" i="26"/>
  <c r="F141" i="26"/>
  <c r="F142" i="26"/>
  <c r="F143" i="26"/>
  <c r="F144" i="26"/>
  <c r="F145" i="26"/>
  <c r="F146" i="26"/>
  <c r="F147" i="26"/>
  <c r="E148" i="26"/>
  <c r="F148" i="26"/>
  <c r="H128" i="26"/>
  <c r="H129" i="26"/>
  <c r="H130" i="26"/>
  <c r="H131" i="26"/>
  <c r="H132" i="26"/>
  <c r="H133" i="26"/>
  <c r="H134" i="26"/>
  <c r="H135" i="26"/>
  <c r="H136" i="26"/>
  <c r="H137" i="26"/>
  <c r="H138" i="26"/>
  <c r="H139" i="26"/>
  <c r="H140" i="26"/>
  <c r="H141" i="26"/>
  <c r="H142" i="26"/>
  <c r="H143" i="26"/>
  <c r="H144" i="26"/>
  <c r="H145" i="26"/>
  <c r="H146" i="26"/>
  <c r="H147" i="26"/>
  <c r="G129" i="24"/>
  <c r="H129" i="24"/>
  <c r="D128" i="24"/>
  <c r="E128" i="24"/>
  <c r="H128" i="24" s="1"/>
  <c r="C128" i="24"/>
  <c r="H118" i="24"/>
  <c r="H119" i="24"/>
  <c r="H120" i="24"/>
  <c r="H121" i="24"/>
  <c r="H122" i="24"/>
  <c r="H123" i="24"/>
  <c r="H124" i="24"/>
  <c r="H125" i="24"/>
  <c r="H126" i="24"/>
  <c r="H127" i="24"/>
  <c r="H118" i="23"/>
  <c r="H119" i="23"/>
  <c r="H120" i="23"/>
  <c r="H121" i="23"/>
  <c r="H122" i="23"/>
  <c r="H123" i="23"/>
  <c r="H124" i="23"/>
  <c r="H125" i="23"/>
  <c r="H126" i="23"/>
  <c r="H127" i="23"/>
  <c r="E128" i="23"/>
  <c r="H128" i="23"/>
  <c r="D128" i="20"/>
  <c r="E128" i="20"/>
  <c r="C128" i="20"/>
  <c r="G129" i="20"/>
  <c r="H129" i="20"/>
  <c r="E139" i="7"/>
  <c r="G129" i="23"/>
  <c r="H129" i="23"/>
  <c r="D128" i="23"/>
  <c r="C128" i="23"/>
  <c r="G129" i="21"/>
  <c r="H129" i="21"/>
  <c r="H118" i="21"/>
  <c r="H119" i="21"/>
  <c r="H120" i="21"/>
  <c r="H121" i="21"/>
  <c r="H122" i="21"/>
  <c r="H123" i="21"/>
  <c r="H124" i="21"/>
  <c r="H125" i="21"/>
  <c r="H126" i="21"/>
  <c r="H127" i="21"/>
  <c r="E128" i="21"/>
  <c r="H128" i="21"/>
  <c r="D128" i="21"/>
  <c r="C128" i="21"/>
  <c r="F118" i="23"/>
  <c r="F119" i="23"/>
  <c r="F120" i="23"/>
  <c r="F121" i="23"/>
  <c r="F122" i="23"/>
  <c r="F123" i="23"/>
  <c r="F124" i="23"/>
  <c r="F125" i="23"/>
  <c r="F126" i="23"/>
  <c r="F127" i="23"/>
  <c r="F128" i="23"/>
  <c r="H118" i="20"/>
  <c r="H119" i="20"/>
  <c r="H120" i="20"/>
  <c r="H121" i="20"/>
  <c r="H122" i="20"/>
  <c r="H123" i="20"/>
  <c r="H124" i="20"/>
  <c r="H125" i="20"/>
  <c r="H126" i="20"/>
  <c r="H127" i="20"/>
  <c r="H128" i="20"/>
  <c r="F118" i="20"/>
  <c r="F119" i="20"/>
  <c r="F120" i="20"/>
  <c r="F121" i="20"/>
  <c r="F122" i="20"/>
  <c r="F123" i="20"/>
  <c r="F124" i="20"/>
  <c r="F125" i="20"/>
  <c r="F126" i="20"/>
  <c r="F127" i="20"/>
  <c r="F128" i="20"/>
  <c r="G160" i="6"/>
  <c r="G159" i="6"/>
  <c r="G139" i="7"/>
  <c r="H139" i="7"/>
  <c r="H129" i="7"/>
  <c r="H130" i="7"/>
  <c r="H131" i="7"/>
  <c r="H132" i="7"/>
  <c r="H133" i="7"/>
  <c r="H134" i="7"/>
  <c r="H135" i="7"/>
  <c r="H136" i="7"/>
  <c r="H137" i="7"/>
  <c r="E138" i="7"/>
  <c r="H138" i="7" s="1"/>
  <c r="H128" i="7"/>
  <c r="C159" i="6"/>
  <c r="E160" i="6"/>
  <c r="H160" i="6" s="1"/>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96" i="32"/>
  <c r="E114" i="32" s="1"/>
  <c r="D111" i="30"/>
  <c r="E111" i="30"/>
  <c r="F111" i="30"/>
  <c r="G111" i="30"/>
  <c r="D110" i="30"/>
  <c r="E110" i="30"/>
  <c r="F110" i="30"/>
  <c r="G110" i="30"/>
  <c r="C111" i="30"/>
  <c r="C110" i="30"/>
  <c r="H111" i="25"/>
  <c r="D111" i="25"/>
  <c r="E111" i="25"/>
  <c r="F111" i="25"/>
  <c r="G111" i="25"/>
  <c r="C111" i="25"/>
  <c r="D110" i="25"/>
  <c r="E110" i="25"/>
  <c r="F110" i="25"/>
  <c r="G110" i="25"/>
  <c r="C110" i="25"/>
  <c r="F15" i="21"/>
  <c r="G15" i="21" s="1"/>
  <c r="D111" i="23"/>
  <c r="E111" i="23"/>
  <c r="F111" i="23"/>
  <c r="G111" i="23"/>
  <c r="H111" i="23"/>
  <c r="C111" i="23"/>
  <c r="D102" i="23"/>
  <c r="E102" i="23"/>
  <c r="F102" i="23"/>
  <c r="G102" i="23"/>
  <c r="H102" i="23"/>
  <c r="C103" i="23"/>
  <c r="C104" i="23"/>
  <c r="C105" i="23"/>
  <c r="C106" i="23"/>
  <c r="C107" i="23"/>
  <c r="C108" i="23"/>
  <c r="C109" i="23"/>
  <c r="C110" i="23"/>
  <c r="H95" i="23"/>
  <c r="C112" i="23" s="1"/>
  <c r="H96" i="23"/>
  <c r="C113" i="23"/>
  <c r="C102" i="23"/>
  <c r="D109" i="32"/>
  <c r="D110" i="32"/>
  <c r="D111" i="32"/>
  <c r="D112" i="32"/>
  <c r="D113" i="32"/>
  <c r="D108" i="32"/>
  <c r="C109" i="32"/>
  <c r="C110" i="32"/>
  <c r="C111" i="32"/>
  <c r="C112" i="32"/>
  <c r="C113" i="32"/>
  <c r="C108" i="32"/>
  <c r="G113" i="32"/>
  <c r="F113" i="32"/>
  <c r="E109" i="32"/>
  <c r="E110" i="32"/>
  <c r="E111" i="32"/>
  <c r="E112" i="32"/>
  <c r="E113" i="32"/>
  <c r="E108" i="32"/>
  <c r="F109" i="32"/>
  <c r="F110" i="32"/>
  <c r="F111" i="32"/>
  <c r="F112" i="32"/>
  <c r="F108" i="32"/>
  <c r="G109" i="32"/>
  <c r="G110" i="32"/>
  <c r="G111" i="32"/>
  <c r="G112" i="32"/>
  <c r="G108" i="32"/>
  <c r="F31" i="31"/>
  <c r="F32" i="31"/>
  <c r="F33" i="31"/>
  <c r="F34" i="31"/>
  <c r="F35" i="31"/>
  <c r="F36" i="31"/>
  <c r="F37" i="31"/>
  <c r="F38" i="31"/>
  <c r="F39" i="31"/>
  <c r="F40" i="31"/>
  <c r="E41" i="31"/>
  <c r="F41" i="31" s="1"/>
  <c r="F42" i="31"/>
  <c r="H31" i="31"/>
  <c r="H32" i="31"/>
  <c r="H33" i="31"/>
  <c r="H34" i="31"/>
  <c r="H35" i="31"/>
  <c r="H36" i="31"/>
  <c r="H37" i="31"/>
  <c r="H38" i="31"/>
  <c r="H39" i="31"/>
  <c r="H40" i="31"/>
  <c r="H41" i="31"/>
  <c r="H42" i="31"/>
  <c r="G68" i="30"/>
  <c r="G69" i="30"/>
  <c r="G70" i="30"/>
  <c r="G71" i="30"/>
  <c r="G72" i="30"/>
  <c r="G73" i="30"/>
  <c r="G74" i="30"/>
  <c r="G75" i="30"/>
  <c r="G76" i="30"/>
  <c r="G67" i="30"/>
  <c r="F68" i="30"/>
  <c r="F69" i="30"/>
  <c r="F70" i="30"/>
  <c r="F71" i="30"/>
  <c r="F72" i="30"/>
  <c r="F73" i="30"/>
  <c r="F74" i="30"/>
  <c r="F75" i="30"/>
  <c r="F76" i="30"/>
  <c r="F67" i="30"/>
  <c r="E76" i="30"/>
  <c r="E68" i="30"/>
  <c r="E69" i="30"/>
  <c r="E70" i="30"/>
  <c r="E71" i="30"/>
  <c r="E72" i="30"/>
  <c r="E73" i="30"/>
  <c r="E74" i="30"/>
  <c r="E75" i="30"/>
  <c r="E67" i="30"/>
  <c r="D68" i="30"/>
  <c r="D69" i="30"/>
  <c r="D70" i="30"/>
  <c r="D71" i="30"/>
  <c r="D72" i="30"/>
  <c r="D73" i="30"/>
  <c r="D74" i="30"/>
  <c r="D75" i="30"/>
  <c r="D76" i="30"/>
  <c r="D67" i="30"/>
  <c r="C68" i="30"/>
  <c r="C69" i="30"/>
  <c r="C70" i="30"/>
  <c r="C71" i="30"/>
  <c r="C72" i="30"/>
  <c r="C73" i="30"/>
  <c r="C74" i="30"/>
  <c r="C75" i="30"/>
  <c r="C76" i="30"/>
  <c r="C67" i="30"/>
  <c r="D75" i="25"/>
  <c r="E75" i="25"/>
  <c r="F75" i="25"/>
  <c r="G75" i="25"/>
  <c r="D76" i="25"/>
  <c r="E76" i="25"/>
  <c r="F76" i="25"/>
  <c r="G76" i="25"/>
  <c r="C76" i="25"/>
  <c r="C75" i="25"/>
  <c r="H75" i="25"/>
  <c r="E41" i="29"/>
  <c r="F41" i="29" s="1"/>
  <c r="G42" i="29"/>
  <c r="H42" i="29"/>
  <c r="D76" i="23"/>
  <c r="E76" i="23"/>
  <c r="F76" i="23"/>
  <c r="G76" i="23"/>
  <c r="H76" i="23"/>
  <c r="D41" i="32"/>
  <c r="E42" i="32"/>
  <c r="E41" i="32"/>
  <c r="C41" i="32"/>
  <c r="D41" i="31"/>
  <c r="C41" i="31"/>
  <c r="D41" i="30"/>
  <c r="E42" i="30"/>
  <c r="E41" i="30"/>
  <c r="C41" i="30"/>
  <c r="F31" i="28"/>
  <c r="F32" i="28"/>
  <c r="F33" i="28"/>
  <c r="F34" i="28"/>
  <c r="F35" i="28"/>
  <c r="F36" i="28"/>
  <c r="F37" i="28"/>
  <c r="F38" i="28"/>
  <c r="F39" i="28"/>
  <c r="F40" i="28"/>
  <c r="E42" i="28"/>
  <c r="E41" i="28" s="1"/>
  <c r="D41" i="28"/>
  <c r="C41" i="28"/>
  <c r="D15" i="25"/>
  <c r="D16" i="25"/>
  <c r="C7" i="25" s="1"/>
  <c r="D17" i="25"/>
  <c r="D18" i="25"/>
  <c r="D19" i="25"/>
  <c r="D20" i="25"/>
  <c r="C10" i="25" s="1"/>
  <c r="D21" i="25"/>
  <c r="D22" i="25"/>
  <c r="D23" i="25"/>
  <c r="D24" i="25"/>
  <c r="D25" i="25"/>
  <c r="F31" i="25"/>
  <c r="F32" i="25"/>
  <c r="F33" i="25"/>
  <c r="F34" i="25"/>
  <c r="F35" i="25"/>
  <c r="F36" i="25"/>
  <c r="F37" i="25"/>
  <c r="F38" i="25"/>
  <c r="E42" i="25"/>
  <c r="F42" i="25"/>
  <c r="D41" i="25"/>
  <c r="C41" i="25"/>
  <c r="D41" i="27"/>
  <c r="E42" i="27"/>
  <c r="E41" i="27"/>
  <c r="F41" i="27" s="1"/>
  <c r="C41" i="27"/>
  <c r="D41" i="29"/>
  <c r="C41" i="29"/>
  <c r="F31" i="27"/>
  <c r="F32" i="27"/>
  <c r="F33" i="27"/>
  <c r="F34" i="27"/>
  <c r="F35" i="27"/>
  <c r="F36" i="27"/>
  <c r="F37" i="27"/>
  <c r="F38" i="27"/>
  <c r="F39" i="27"/>
  <c r="F40" i="27"/>
  <c r="F42" i="27"/>
  <c r="H31" i="27"/>
  <c r="H32" i="27"/>
  <c r="H33" i="27"/>
  <c r="H34" i="27"/>
  <c r="H35" i="27"/>
  <c r="H36" i="27"/>
  <c r="H37" i="27"/>
  <c r="H38" i="27"/>
  <c r="H39" i="27"/>
  <c r="H40" i="27"/>
  <c r="G42" i="27"/>
  <c r="H42" i="27"/>
  <c r="G52" i="26"/>
  <c r="G51" i="26"/>
  <c r="H31" i="26"/>
  <c r="H32" i="26"/>
  <c r="H33" i="26"/>
  <c r="H34" i="26"/>
  <c r="H35" i="26"/>
  <c r="H36" i="26"/>
  <c r="H37" i="26"/>
  <c r="H38" i="26"/>
  <c r="H39" i="26"/>
  <c r="H40" i="26"/>
  <c r="H41" i="26"/>
  <c r="H42" i="26"/>
  <c r="H43" i="26"/>
  <c r="H44" i="26"/>
  <c r="H45" i="26"/>
  <c r="H46" i="26"/>
  <c r="H47" i="26"/>
  <c r="H48" i="26"/>
  <c r="H49" i="26"/>
  <c r="H50" i="26"/>
  <c r="E51" i="26"/>
  <c r="H51" i="26" s="1"/>
  <c r="H52" i="26"/>
  <c r="F31" i="26"/>
  <c r="F32" i="26"/>
  <c r="F33" i="26"/>
  <c r="F34" i="26"/>
  <c r="F35" i="26"/>
  <c r="F36" i="26"/>
  <c r="F37" i="26"/>
  <c r="F38" i="26"/>
  <c r="F39" i="26"/>
  <c r="F40" i="26"/>
  <c r="F41" i="26"/>
  <c r="F42" i="26"/>
  <c r="F43" i="26"/>
  <c r="F44" i="26"/>
  <c r="F45" i="26"/>
  <c r="F46" i="26"/>
  <c r="F47" i="26"/>
  <c r="F48" i="26"/>
  <c r="F49" i="26"/>
  <c r="F50" i="26"/>
  <c r="F51" i="26"/>
  <c r="F52" i="26"/>
  <c r="D51" i="26"/>
  <c r="C51" i="26"/>
  <c r="D41" i="24"/>
  <c r="E42" i="24"/>
  <c r="E41" i="24"/>
  <c r="C41" i="24"/>
  <c r="D41" i="21"/>
  <c r="E42" i="21"/>
  <c r="E41" i="21"/>
  <c r="C41" i="21"/>
  <c r="E52" i="7"/>
  <c r="E51" i="7" s="1"/>
  <c r="D51" i="7"/>
  <c r="C51" i="7"/>
  <c r="E52" i="6"/>
  <c r="E51" i="6" s="1"/>
  <c r="D51" i="6"/>
  <c r="C51" i="6"/>
  <c r="F31" i="6"/>
  <c r="F32" i="6"/>
  <c r="F33" i="6"/>
  <c r="F34" i="6"/>
  <c r="F35" i="6"/>
  <c r="F36" i="6"/>
  <c r="F37" i="6"/>
  <c r="F38" i="6"/>
  <c r="F39" i="6"/>
  <c r="F40" i="6"/>
  <c r="F41" i="6"/>
  <c r="F42" i="6"/>
  <c r="F43" i="6"/>
  <c r="F44" i="6"/>
  <c r="F45" i="6"/>
  <c r="F46" i="6"/>
  <c r="F47" i="6"/>
  <c r="F48" i="6"/>
  <c r="F49" i="6"/>
  <c r="F50" i="6"/>
  <c r="F52" i="6"/>
  <c r="F15" i="28"/>
  <c r="F16" i="28"/>
  <c r="F17" i="28"/>
  <c r="F18" i="28"/>
  <c r="G18" i="28" s="1"/>
  <c r="F19" i="28"/>
  <c r="F20" i="28"/>
  <c r="F21" i="28"/>
  <c r="F22" i="28"/>
  <c r="G22" i="28" s="1"/>
  <c r="F23" i="28"/>
  <c r="F24" i="28"/>
  <c r="F25" i="28"/>
  <c r="G15" i="28"/>
  <c r="G16" i="28"/>
  <c r="G17" i="28"/>
  <c r="G19" i="28"/>
  <c r="G20" i="28"/>
  <c r="G21" i="28"/>
  <c r="G23" i="28"/>
  <c r="G24" i="28"/>
  <c r="G25" i="28"/>
  <c r="D15" i="28"/>
  <c r="D16" i="28"/>
  <c r="C7" i="28" s="1"/>
  <c r="D17" i="28"/>
  <c r="D18" i="28"/>
  <c r="D19" i="28"/>
  <c r="D20" i="28"/>
  <c r="D21" i="28"/>
  <c r="D22" i="28"/>
  <c r="D23" i="28"/>
  <c r="D24" i="28"/>
  <c r="D25" i="28"/>
  <c r="F31" i="21"/>
  <c r="F32" i="21"/>
  <c r="F33" i="21"/>
  <c r="F34" i="21"/>
  <c r="F35" i="21"/>
  <c r="F36" i="21"/>
  <c r="F37" i="21"/>
  <c r="F38" i="21"/>
  <c r="F39" i="21"/>
  <c r="F40" i="21"/>
  <c r="F42" i="21"/>
  <c r="D15" i="32"/>
  <c r="D16" i="32"/>
  <c r="D17" i="32"/>
  <c r="D18" i="32"/>
  <c r="D19" i="32"/>
  <c r="D20" i="32"/>
  <c r="D21" i="32"/>
  <c r="D22" i="32"/>
  <c r="D23" i="32"/>
  <c r="D24" i="32"/>
  <c r="D25" i="32"/>
  <c r="F15" i="31"/>
  <c r="G15" i="31" s="1"/>
  <c r="F16" i="31"/>
  <c r="F17" i="31"/>
  <c r="F18" i="31"/>
  <c r="F19" i="31"/>
  <c r="G19" i="31" s="1"/>
  <c r="F20" i="31"/>
  <c r="F21" i="31"/>
  <c r="F22" i="31"/>
  <c r="F23" i="31"/>
  <c r="G23" i="31" s="1"/>
  <c r="F24" i="31"/>
  <c r="F25" i="31"/>
  <c r="G16" i="31"/>
  <c r="G17" i="31"/>
  <c r="G18" i="31"/>
  <c r="G20" i="31"/>
  <c r="G21" i="31"/>
  <c r="G22" i="31"/>
  <c r="G24" i="31"/>
  <c r="G25" i="31"/>
  <c r="D15" i="31"/>
  <c r="D16" i="31"/>
  <c r="D17" i="31"/>
  <c r="D18" i="31"/>
  <c r="D19" i="31"/>
  <c r="D20" i="31"/>
  <c r="D21" i="31"/>
  <c r="D22" i="31"/>
  <c r="D23" i="31"/>
  <c r="D24" i="31"/>
  <c r="D25" i="31"/>
  <c r="G42" i="30"/>
  <c r="H42" i="30"/>
  <c r="F31" i="30"/>
  <c r="F32" i="30"/>
  <c r="F33" i="30"/>
  <c r="F34" i="30"/>
  <c r="F35" i="30"/>
  <c r="F36" i="30"/>
  <c r="F37" i="30"/>
  <c r="F38" i="30"/>
  <c r="F39" i="30"/>
  <c r="F40" i="30"/>
  <c r="F42" i="30"/>
  <c r="F15" i="30"/>
  <c r="G15" i="30" s="1"/>
  <c r="F16" i="30"/>
  <c r="G16" i="30" s="1"/>
  <c r="F17" i="30"/>
  <c r="G17" i="30" s="1"/>
  <c r="F18" i="30"/>
  <c r="G18" i="30" s="1"/>
  <c r="F19" i="30"/>
  <c r="G19" i="30" s="1"/>
  <c r="F20" i="30"/>
  <c r="G20" i="30" s="1"/>
  <c r="F21" i="30"/>
  <c r="G21" i="30" s="1"/>
  <c r="F22" i="30"/>
  <c r="G22" i="30" s="1"/>
  <c r="F23" i="30"/>
  <c r="G23" i="30" s="1"/>
  <c r="F24" i="30"/>
  <c r="G24" i="30" s="1"/>
  <c r="F25" i="30"/>
  <c r="G25" i="30" s="1"/>
  <c r="D15" i="30"/>
  <c r="D16" i="30"/>
  <c r="D17" i="30"/>
  <c r="D18" i="30"/>
  <c r="D19" i="30"/>
  <c r="C9" i="30" s="1"/>
  <c r="D20" i="30"/>
  <c r="D21" i="30"/>
  <c r="D22" i="30"/>
  <c r="D23" i="30"/>
  <c r="D24" i="30"/>
  <c r="D25" i="30"/>
  <c r="F15" i="29"/>
  <c r="G15" i="29"/>
  <c r="F16" i="29"/>
  <c r="G16" i="29"/>
  <c r="F17" i="29"/>
  <c r="G17" i="29"/>
  <c r="F18" i="29"/>
  <c r="G18" i="29"/>
  <c r="F19" i="29"/>
  <c r="G19" i="29"/>
  <c r="F20" i="29"/>
  <c r="G20" i="29"/>
  <c r="F21" i="29"/>
  <c r="G21" i="29"/>
  <c r="F22" i="29"/>
  <c r="G22" i="29"/>
  <c r="F23" i="29"/>
  <c r="G23" i="29"/>
  <c r="F24" i="29"/>
  <c r="G24" i="29"/>
  <c r="F25" i="29"/>
  <c r="G25" i="29"/>
  <c r="D15" i="29"/>
  <c r="D16" i="29"/>
  <c r="D17" i="29"/>
  <c r="D18" i="29"/>
  <c r="C8" i="29" s="1"/>
  <c r="D19" i="29"/>
  <c r="D20" i="29"/>
  <c r="D21" i="29"/>
  <c r="D22" i="29"/>
  <c r="D23" i="29"/>
  <c r="D24" i="29"/>
  <c r="D25" i="29"/>
  <c r="F15" i="27"/>
  <c r="G15" i="27" s="1"/>
  <c r="F16" i="27"/>
  <c r="G16" i="27" s="1"/>
  <c r="F17" i="27"/>
  <c r="G17" i="27" s="1"/>
  <c r="F18" i="27"/>
  <c r="G18" i="27" s="1"/>
  <c r="F19" i="27"/>
  <c r="G19" i="27" s="1"/>
  <c r="F20" i="27"/>
  <c r="G20" i="27" s="1"/>
  <c r="F21" i="27"/>
  <c r="G21" i="27" s="1"/>
  <c r="F22" i="27"/>
  <c r="G22" i="27" s="1"/>
  <c r="F23" i="27"/>
  <c r="G23" i="27" s="1"/>
  <c r="F24" i="27"/>
  <c r="G24" i="27" s="1"/>
  <c r="F25" i="27"/>
  <c r="G25" i="27" s="1"/>
  <c r="D15" i="27"/>
  <c r="D16" i="27"/>
  <c r="D17" i="27"/>
  <c r="D18" i="27"/>
  <c r="D19" i="27"/>
  <c r="D20" i="27"/>
  <c r="D21" i="27"/>
  <c r="D22" i="27"/>
  <c r="D23" i="27"/>
  <c r="D24" i="27"/>
  <c r="D25" i="27"/>
  <c r="G15" i="26"/>
  <c r="F16" i="26"/>
  <c r="G16" i="26" s="1"/>
  <c r="F17" i="26"/>
  <c r="G17" i="26" s="1"/>
  <c r="F18" i="26"/>
  <c r="G18" i="26" s="1"/>
  <c r="F19" i="26"/>
  <c r="G19" i="26" s="1"/>
  <c r="F20" i="26"/>
  <c r="G20" i="26" s="1"/>
  <c r="F21" i="26"/>
  <c r="G21" i="26" s="1"/>
  <c r="F22" i="26"/>
  <c r="G22" i="26" s="1"/>
  <c r="F23" i="26"/>
  <c r="G23" i="26" s="1"/>
  <c r="F24" i="26"/>
  <c r="G24" i="26" s="1"/>
  <c r="F25" i="26"/>
  <c r="G25" i="26" s="1"/>
  <c r="D15" i="26"/>
  <c r="D16" i="26"/>
  <c r="D17" i="26"/>
  <c r="D18" i="26"/>
  <c r="D19" i="26"/>
  <c r="D20" i="26"/>
  <c r="D21" i="26"/>
  <c r="D22" i="26"/>
  <c r="D23" i="26"/>
  <c r="D24" i="26"/>
  <c r="D25" i="26"/>
  <c r="F31" i="24"/>
  <c r="F32" i="24"/>
  <c r="F33" i="24"/>
  <c r="F34" i="24"/>
  <c r="F35" i="24"/>
  <c r="F36" i="24"/>
  <c r="F37" i="24"/>
  <c r="F38" i="24"/>
  <c r="F39" i="24"/>
  <c r="F40" i="24"/>
  <c r="F42" i="24"/>
  <c r="D15" i="24"/>
  <c r="D16" i="24"/>
  <c r="D17" i="24"/>
  <c r="D18" i="24"/>
  <c r="D19" i="24"/>
  <c r="C9" i="24" s="1"/>
  <c r="D20" i="24"/>
  <c r="D21" i="24"/>
  <c r="D22" i="24"/>
  <c r="D23" i="24"/>
  <c r="D24" i="24"/>
  <c r="D25" i="24"/>
  <c r="F16" i="21"/>
  <c r="G16" i="21"/>
  <c r="F17" i="21"/>
  <c r="F18" i="21"/>
  <c r="F19" i="21"/>
  <c r="F20" i="21"/>
  <c r="G20" i="21" s="1"/>
  <c r="F21" i="21"/>
  <c r="F22" i="21"/>
  <c r="F23" i="21"/>
  <c r="G23" i="21" s="1"/>
  <c r="F24" i="21"/>
  <c r="G24" i="21" s="1"/>
  <c r="F25" i="21"/>
  <c r="G17" i="21"/>
  <c r="G18" i="21"/>
  <c r="G19" i="21"/>
  <c r="G21" i="21"/>
  <c r="G22" i="21"/>
  <c r="G25" i="21"/>
  <c r="D15" i="21"/>
  <c r="D16" i="21"/>
  <c r="D17" i="21"/>
  <c r="D18" i="21"/>
  <c r="D19" i="21"/>
  <c r="D20" i="21"/>
  <c r="C11" i="21" s="1"/>
  <c r="D21" i="21"/>
  <c r="D22" i="21"/>
  <c r="D23" i="21"/>
  <c r="D24" i="21"/>
  <c r="D25" i="21"/>
  <c r="F15" i="23"/>
  <c r="G15" i="23"/>
  <c r="F16" i="23"/>
  <c r="F17" i="23"/>
  <c r="F18" i="23"/>
  <c r="F19" i="23"/>
  <c r="G19" i="23"/>
  <c r="F20" i="23"/>
  <c r="F21" i="23"/>
  <c r="F22" i="23"/>
  <c r="F23" i="23"/>
  <c r="G23" i="23" s="1"/>
  <c r="F24" i="23"/>
  <c r="F25" i="23"/>
  <c r="G16" i="23"/>
  <c r="G17" i="23"/>
  <c r="G18" i="23"/>
  <c r="G20" i="23"/>
  <c r="G21" i="23"/>
  <c r="G22" i="23"/>
  <c r="G24" i="23"/>
  <c r="G25" i="23"/>
  <c r="H31" i="20"/>
  <c r="H32" i="20"/>
  <c r="H33" i="20"/>
  <c r="H34" i="20"/>
  <c r="H35" i="20"/>
  <c r="H36" i="20"/>
  <c r="H37" i="20"/>
  <c r="H38" i="20"/>
  <c r="H39" i="20"/>
  <c r="H40" i="20"/>
  <c r="H41" i="20"/>
  <c r="H42" i="20"/>
  <c r="F31" i="20"/>
  <c r="F32" i="20"/>
  <c r="F33" i="20"/>
  <c r="F34" i="20"/>
  <c r="F35" i="20"/>
  <c r="F36" i="20"/>
  <c r="F37" i="20"/>
  <c r="F38" i="20"/>
  <c r="F39" i="20"/>
  <c r="F40" i="20"/>
  <c r="F41" i="20"/>
  <c r="F42" i="20"/>
  <c r="D15" i="20"/>
  <c r="D16" i="20"/>
  <c r="D17" i="20"/>
  <c r="D18" i="20"/>
  <c r="D19" i="20"/>
  <c r="D20" i="20"/>
  <c r="D21" i="20"/>
  <c r="D22" i="20"/>
  <c r="D23" i="20"/>
  <c r="D24" i="20"/>
  <c r="D25" i="20"/>
  <c r="F15" i="20"/>
  <c r="F16" i="20"/>
  <c r="G16" i="20" s="1"/>
  <c r="F17" i="20"/>
  <c r="F18" i="20"/>
  <c r="F19" i="20"/>
  <c r="F20" i="20"/>
  <c r="G20" i="20" s="1"/>
  <c r="F21" i="20"/>
  <c r="F22" i="20"/>
  <c r="F23" i="20"/>
  <c r="F24" i="20"/>
  <c r="G24" i="20" s="1"/>
  <c r="F25" i="20"/>
  <c r="F15" i="7"/>
  <c r="G15" i="7"/>
  <c r="F16" i="7"/>
  <c r="G16" i="7" s="1"/>
  <c r="F17" i="7"/>
  <c r="G17" i="7"/>
  <c r="F18" i="7"/>
  <c r="G18" i="7" s="1"/>
  <c r="F19" i="7"/>
  <c r="G19" i="7"/>
  <c r="F20" i="7"/>
  <c r="G20" i="7" s="1"/>
  <c r="F21" i="7"/>
  <c r="G21" i="7" s="1"/>
  <c r="F22" i="7"/>
  <c r="G22" i="7" s="1"/>
  <c r="F23" i="7"/>
  <c r="G23" i="7" s="1"/>
  <c r="F24" i="7"/>
  <c r="G24" i="7" s="1"/>
  <c r="F25" i="7"/>
  <c r="G25" i="7" s="1"/>
  <c r="F15" i="6"/>
  <c r="G15" i="6" s="1"/>
  <c r="F16" i="6"/>
  <c r="G16" i="6" s="1"/>
  <c r="F17" i="6"/>
  <c r="G17" i="6" s="1"/>
  <c r="F18" i="6"/>
  <c r="G18" i="6" s="1"/>
  <c r="F19" i="6"/>
  <c r="G19" i="6" s="1"/>
  <c r="F20" i="6"/>
  <c r="G20" i="6" s="1"/>
  <c r="F21" i="6"/>
  <c r="G21" i="6" s="1"/>
  <c r="F22" i="6"/>
  <c r="G22" i="6" s="1"/>
  <c r="F23" i="6"/>
  <c r="G23" i="6" s="1"/>
  <c r="F24" i="6"/>
  <c r="G24" i="6" s="1"/>
  <c r="F25" i="6"/>
  <c r="G25" i="6" s="1"/>
  <c r="H32" i="30"/>
  <c r="H33" i="30"/>
  <c r="H34" i="30"/>
  <c r="H35" i="30"/>
  <c r="H36" i="30"/>
  <c r="H37" i="30"/>
  <c r="H38" i="30"/>
  <c r="H39" i="30"/>
  <c r="H40" i="30"/>
  <c r="H31" i="30"/>
  <c r="G15" i="20"/>
  <c r="G17" i="20"/>
  <c r="G18" i="20"/>
  <c r="G19" i="20"/>
  <c r="G21" i="20"/>
  <c r="G22" i="20"/>
  <c r="G23" i="20"/>
  <c r="G25" i="20"/>
  <c r="H50" i="7"/>
  <c r="F32" i="7"/>
  <c r="F33" i="7"/>
  <c r="F34" i="7"/>
  <c r="F35" i="7"/>
  <c r="F36" i="7"/>
  <c r="F37" i="7"/>
  <c r="F38" i="7"/>
  <c r="F39" i="7"/>
  <c r="F40" i="7"/>
  <c r="F41" i="7"/>
  <c r="F42" i="7"/>
  <c r="F43" i="7"/>
  <c r="F44" i="7"/>
  <c r="F45" i="7"/>
  <c r="F46" i="7"/>
  <c r="F47" i="7"/>
  <c r="F48" i="7"/>
  <c r="H40" i="7"/>
  <c r="H41" i="7"/>
  <c r="H42" i="7"/>
  <c r="H43" i="7"/>
  <c r="H44" i="7"/>
  <c r="H45" i="7"/>
  <c r="H46" i="7"/>
  <c r="H47" i="7"/>
  <c r="H48" i="7"/>
  <c r="H32" i="7"/>
  <c r="H33" i="7"/>
  <c r="H34" i="7"/>
  <c r="H35" i="7"/>
  <c r="H36" i="7"/>
  <c r="H37" i="7"/>
  <c r="H38" i="7"/>
  <c r="H39" i="7"/>
  <c r="F132" i="6"/>
  <c r="F136" i="6"/>
  <c r="F140" i="6"/>
  <c r="F144" i="6"/>
  <c r="F148" i="6"/>
  <c r="F152" i="6"/>
  <c r="F156" i="6"/>
  <c r="D16" i="6"/>
  <c r="D17" i="6"/>
  <c r="D18" i="6"/>
  <c r="D19" i="6"/>
  <c r="D20" i="6"/>
  <c r="D21" i="6"/>
  <c r="D22" i="6"/>
  <c r="D23" i="6"/>
  <c r="D24" i="6"/>
  <c r="D25" i="6"/>
  <c r="H32" i="6"/>
  <c r="H33" i="6"/>
  <c r="H34" i="6"/>
  <c r="H35" i="6"/>
  <c r="H36" i="6"/>
  <c r="H37" i="6"/>
  <c r="H38" i="6"/>
  <c r="H39" i="6"/>
  <c r="H40" i="6"/>
  <c r="H41" i="6"/>
  <c r="H42" i="6"/>
  <c r="H43" i="6"/>
  <c r="H44" i="6"/>
  <c r="H45" i="6"/>
  <c r="H46" i="6"/>
  <c r="H47" i="6"/>
  <c r="H48" i="6"/>
  <c r="H49" i="6"/>
  <c r="H50" i="6"/>
  <c r="H31" i="6"/>
  <c r="G52" i="6"/>
  <c r="I185" i="23"/>
  <c r="I186" i="23"/>
  <c r="I187" i="23"/>
  <c r="I188" i="23"/>
  <c r="I189" i="23"/>
  <c r="I190" i="23"/>
  <c r="I191" i="23"/>
  <c r="I192" i="23"/>
  <c r="I193" i="23"/>
  <c r="I194" i="23"/>
  <c r="I195" i="23"/>
  <c r="I196" i="23"/>
  <c r="I197" i="23"/>
  <c r="I198" i="23"/>
  <c r="I199" i="23"/>
  <c r="I205" i="23"/>
  <c r="I206" i="23"/>
  <c r="H31" i="24"/>
  <c r="H32" i="24"/>
  <c r="H33" i="24"/>
  <c r="H34" i="24"/>
  <c r="H35" i="24"/>
  <c r="H36" i="24"/>
  <c r="H37" i="24"/>
  <c r="H38" i="24"/>
  <c r="H39" i="24"/>
  <c r="H40" i="24"/>
  <c r="G42" i="24"/>
  <c r="H42" i="24"/>
  <c r="I185" i="21"/>
  <c r="I186" i="21"/>
  <c r="I187" i="21"/>
  <c r="I188" i="21"/>
  <c r="I189" i="21"/>
  <c r="I190" i="21"/>
  <c r="I191" i="21"/>
  <c r="I192" i="21"/>
  <c r="I193" i="21"/>
  <c r="I194" i="21"/>
  <c r="I195" i="21"/>
  <c r="I196" i="21"/>
  <c r="I197" i="21"/>
  <c r="I198" i="21"/>
  <c r="I199" i="21"/>
  <c r="I200" i="21"/>
  <c r="I201" i="21"/>
  <c r="I202" i="21"/>
  <c r="I203" i="21"/>
  <c r="I204" i="21"/>
  <c r="I205" i="21"/>
  <c r="I206" i="21"/>
  <c r="H31" i="21"/>
  <c r="H32" i="21"/>
  <c r="H33" i="21"/>
  <c r="H34" i="21"/>
  <c r="H35" i="21"/>
  <c r="H36" i="21"/>
  <c r="H37" i="21"/>
  <c r="H38" i="21"/>
  <c r="H39" i="21"/>
  <c r="H40" i="21"/>
  <c r="G42" i="21"/>
  <c r="H42" i="21" s="1"/>
  <c r="H31" i="7"/>
  <c r="G52" i="7"/>
  <c r="H52" i="7"/>
  <c r="G42" i="25"/>
  <c r="H42" i="25"/>
  <c r="F15" i="25"/>
  <c r="G15" i="25"/>
  <c r="F16" i="25"/>
  <c r="G16" i="25"/>
  <c r="F17" i="25"/>
  <c r="G17" i="25"/>
  <c r="F18" i="25"/>
  <c r="G18" i="25" s="1"/>
  <c r="F19" i="25"/>
  <c r="G19" i="25"/>
  <c r="F20" i="25"/>
  <c r="G20" i="25" s="1"/>
  <c r="F21" i="25"/>
  <c r="G21" i="25"/>
  <c r="F22" i="25"/>
  <c r="G22" i="25" s="1"/>
  <c r="F23" i="25"/>
  <c r="G23" i="25"/>
  <c r="F24" i="25"/>
  <c r="G24" i="25" s="1"/>
  <c r="F25" i="25"/>
  <c r="G25" i="25"/>
  <c r="H118" i="28"/>
  <c r="H119" i="28"/>
  <c r="H120" i="28"/>
  <c r="H121" i="28"/>
  <c r="H122" i="28"/>
  <c r="H123" i="28"/>
  <c r="H124" i="28"/>
  <c r="H125" i="28"/>
  <c r="H126" i="28"/>
  <c r="H127" i="28"/>
  <c r="H31" i="28"/>
  <c r="H32" i="28"/>
  <c r="G42" i="28"/>
  <c r="H42" i="28"/>
  <c r="H184" i="30"/>
  <c r="H185" i="30"/>
  <c r="H186" i="30"/>
  <c r="H187" i="30"/>
  <c r="H188" i="30"/>
  <c r="H189" i="30"/>
  <c r="H190" i="30"/>
  <c r="H191" i="30"/>
  <c r="H192" i="30"/>
  <c r="H204" i="30"/>
  <c r="H205" i="30"/>
  <c r="B77" i="31"/>
  <c r="B78" i="31"/>
  <c r="B79" i="31"/>
  <c r="B68" i="31"/>
  <c r="B69" i="31"/>
  <c r="B70" i="31"/>
  <c r="B71" i="31"/>
  <c r="B72" i="31"/>
  <c r="B73" i="31"/>
  <c r="B74" i="31"/>
  <c r="B75" i="31"/>
  <c r="B76" i="31"/>
  <c r="B67" i="31"/>
  <c r="C67" i="31"/>
  <c r="G129" i="31"/>
  <c r="H129" i="31"/>
  <c r="G233" i="31"/>
  <c r="H233" i="31"/>
  <c r="I233" i="31"/>
  <c r="J233" i="31"/>
  <c r="F233" i="31"/>
  <c r="G42" i="32"/>
  <c r="G206" i="31"/>
  <c r="E206" i="31"/>
  <c r="G206" i="25"/>
  <c r="E206" i="25"/>
  <c r="I206" i="25" s="1"/>
  <c r="F185" i="27"/>
  <c r="F186" i="27"/>
  <c r="F187" i="27"/>
  <c r="F188" i="27"/>
  <c r="F189" i="27"/>
  <c r="F190" i="27"/>
  <c r="F191" i="27"/>
  <c r="F192" i="27"/>
  <c r="F193" i="27"/>
  <c r="F194" i="27"/>
  <c r="F195" i="27"/>
  <c r="F196" i="27"/>
  <c r="F197" i="27"/>
  <c r="F198" i="27"/>
  <c r="F205" i="27"/>
  <c r="F206" i="27"/>
  <c r="G207" i="21"/>
  <c r="E208" i="32"/>
  <c r="H166" i="32"/>
  <c r="D166" i="32"/>
  <c r="E166" i="32"/>
  <c r="F166" i="32"/>
  <c r="G166" i="32"/>
  <c r="C166" i="32"/>
  <c r="D139" i="31"/>
  <c r="E139" i="31"/>
  <c r="F139" i="31"/>
  <c r="G139" i="31"/>
  <c r="H139" i="31"/>
  <c r="C139" i="31"/>
  <c r="C76" i="23"/>
  <c r="F31" i="23"/>
  <c r="F32" i="23"/>
  <c r="F41" i="23"/>
  <c r="H31" i="23"/>
  <c r="H32" i="23"/>
  <c r="H41" i="23"/>
  <c r="D102" i="20"/>
  <c r="E102" i="20"/>
  <c r="F102" i="20"/>
  <c r="G102" i="20"/>
  <c r="H102" i="20"/>
  <c r="D103" i="20"/>
  <c r="E103" i="20"/>
  <c r="F103" i="20"/>
  <c r="G103" i="20"/>
  <c r="H103" i="20"/>
  <c r="D104" i="20"/>
  <c r="E104" i="20"/>
  <c r="F104" i="20"/>
  <c r="G104" i="20"/>
  <c r="H104" i="20"/>
  <c r="D105" i="20"/>
  <c r="E105" i="20"/>
  <c r="F105" i="20"/>
  <c r="G105" i="20"/>
  <c r="H105" i="20"/>
  <c r="D106" i="20"/>
  <c r="E106" i="20"/>
  <c r="F106" i="20"/>
  <c r="G106" i="20"/>
  <c r="H106" i="20"/>
  <c r="D107" i="20"/>
  <c r="E107" i="20"/>
  <c r="F107" i="20"/>
  <c r="G107" i="20"/>
  <c r="H107" i="20"/>
  <c r="D108" i="20"/>
  <c r="E108" i="20"/>
  <c r="F108" i="20"/>
  <c r="G108" i="20"/>
  <c r="H108" i="20"/>
  <c r="D109" i="20"/>
  <c r="E109" i="20"/>
  <c r="F109" i="20"/>
  <c r="G109" i="20"/>
  <c r="H109" i="20"/>
  <c r="D110" i="20"/>
  <c r="E110" i="20"/>
  <c r="F110" i="20"/>
  <c r="G110" i="20"/>
  <c r="H110" i="20"/>
  <c r="D111" i="20"/>
  <c r="E111" i="20"/>
  <c r="F111" i="20"/>
  <c r="G111" i="20"/>
  <c r="H111" i="20"/>
  <c r="D112" i="20"/>
  <c r="E112" i="20"/>
  <c r="F112" i="20"/>
  <c r="G112" i="20"/>
  <c r="H112" i="20"/>
  <c r="D113" i="20"/>
  <c r="E113" i="20"/>
  <c r="F113" i="20"/>
  <c r="G113" i="20"/>
  <c r="H113" i="20"/>
  <c r="C103" i="20"/>
  <c r="C104" i="20"/>
  <c r="C105" i="20"/>
  <c r="C106" i="20"/>
  <c r="C107" i="20"/>
  <c r="C108" i="20"/>
  <c r="C109" i="20"/>
  <c r="C110" i="20"/>
  <c r="C111" i="20"/>
  <c r="C112" i="20"/>
  <c r="C113" i="20"/>
  <c r="C102" i="20"/>
  <c r="D78" i="20"/>
  <c r="E78" i="20"/>
  <c r="F78" i="20"/>
  <c r="G78" i="20"/>
  <c r="H78" i="20"/>
  <c r="D79" i="20"/>
  <c r="E79" i="20"/>
  <c r="F79" i="20"/>
  <c r="G79" i="20"/>
  <c r="H79" i="20"/>
  <c r="C79" i="20"/>
  <c r="C78" i="20"/>
  <c r="E234" i="23"/>
  <c r="D234" i="23"/>
  <c r="C234" i="23"/>
  <c r="D72" i="32"/>
  <c r="E72" i="32"/>
  <c r="F72" i="32"/>
  <c r="G72" i="32"/>
  <c r="H72" i="32"/>
  <c r="D73" i="32"/>
  <c r="E73" i="32"/>
  <c r="F73" i="32"/>
  <c r="G73" i="32"/>
  <c r="H73" i="32"/>
  <c r="D74" i="32"/>
  <c r="E74" i="32"/>
  <c r="F74" i="32"/>
  <c r="G74" i="32"/>
  <c r="H74" i="32"/>
  <c r="D75" i="32"/>
  <c r="E75" i="32"/>
  <c r="F75" i="32"/>
  <c r="G75" i="32"/>
  <c r="H75" i="32"/>
  <c r="D76" i="32"/>
  <c r="E76" i="32"/>
  <c r="F76" i="32"/>
  <c r="G76" i="32"/>
  <c r="H76" i="32"/>
  <c r="C73" i="32"/>
  <c r="C74" i="32"/>
  <c r="C75" i="32"/>
  <c r="C76" i="32"/>
  <c r="C72" i="32"/>
  <c r="H120" i="32"/>
  <c r="H121" i="32"/>
  <c r="H122" i="32"/>
  <c r="H123" i="32"/>
  <c r="H124" i="32"/>
  <c r="H125" i="32"/>
  <c r="H126" i="32"/>
  <c r="H127" i="32"/>
  <c r="H128" i="32"/>
  <c r="H129" i="32"/>
  <c r="H130" i="32"/>
  <c r="F120" i="32"/>
  <c r="F121" i="32"/>
  <c r="F122" i="32"/>
  <c r="F123" i="32"/>
  <c r="F124" i="32"/>
  <c r="F125" i="32"/>
  <c r="F126" i="32"/>
  <c r="F127" i="32"/>
  <c r="F128" i="32"/>
  <c r="F129" i="32"/>
  <c r="F130" i="32"/>
  <c r="F118" i="31"/>
  <c r="F119" i="31"/>
  <c r="F120" i="31"/>
  <c r="F121" i="31"/>
  <c r="F122" i="31"/>
  <c r="F123" i="31"/>
  <c r="F124" i="31"/>
  <c r="F125" i="31"/>
  <c r="F126" i="31"/>
  <c r="F127" i="31"/>
  <c r="F128" i="31"/>
  <c r="F118" i="27"/>
  <c r="F119" i="27"/>
  <c r="F120" i="27"/>
  <c r="F121" i="27"/>
  <c r="F122" i="27"/>
  <c r="F123" i="27"/>
  <c r="F124" i="27"/>
  <c r="F125" i="27"/>
  <c r="F126" i="27"/>
  <c r="F127" i="27"/>
  <c r="F128" i="27"/>
  <c r="F118" i="24"/>
  <c r="F119" i="24"/>
  <c r="F120" i="24"/>
  <c r="F121" i="24"/>
  <c r="F122" i="24"/>
  <c r="F123" i="24"/>
  <c r="F124" i="24"/>
  <c r="F125" i="24"/>
  <c r="F126" i="24"/>
  <c r="F127" i="24"/>
  <c r="F118" i="21"/>
  <c r="F119" i="21"/>
  <c r="F120" i="21"/>
  <c r="F121" i="21"/>
  <c r="F122" i="21"/>
  <c r="F123" i="21"/>
  <c r="F124" i="21"/>
  <c r="F125" i="21"/>
  <c r="F126" i="21"/>
  <c r="F127" i="21"/>
  <c r="F128" i="21"/>
  <c r="D138" i="7"/>
  <c r="C138" i="7"/>
  <c r="F128" i="7"/>
  <c r="F129" i="7"/>
  <c r="F130" i="7"/>
  <c r="F131" i="7"/>
  <c r="F132" i="7"/>
  <c r="F133" i="7"/>
  <c r="F134" i="7"/>
  <c r="F135" i="7"/>
  <c r="F136" i="7"/>
  <c r="F137" i="7"/>
  <c r="D159" i="6"/>
  <c r="E244" i="7"/>
  <c r="D244" i="7"/>
  <c r="C244" i="7"/>
  <c r="E235" i="32"/>
  <c r="D235" i="32"/>
  <c r="C235" i="32"/>
  <c r="E233" i="30"/>
  <c r="D233" i="30"/>
  <c r="C233" i="30"/>
  <c r="E233" i="28"/>
  <c r="D233" i="28"/>
  <c r="C233" i="28"/>
  <c r="E233" i="25"/>
  <c r="D233" i="25"/>
  <c r="C233" i="25"/>
  <c r="E234" i="29"/>
  <c r="D234" i="29"/>
  <c r="C234" i="29"/>
  <c r="E234" i="27"/>
  <c r="D234" i="27"/>
  <c r="C234" i="27"/>
  <c r="E234" i="24"/>
  <c r="D234" i="24"/>
  <c r="C234" i="24"/>
  <c r="E234" i="21"/>
  <c r="D234" i="21"/>
  <c r="C234" i="21"/>
  <c r="E234" i="20"/>
  <c r="D234" i="20"/>
  <c r="C234" i="20"/>
  <c r="E233" i="31"/>
  <c r="D233" i="31"/>
  <c r="C233" i="31"/>
  <c r="C265" i="6"/>
  <c r="D265" i="6"/>
  <c r="E265" i="6"/>
  <c r="G208" i="32"/>
  <c r="I206" i="31"/>
  <c r="H206" i="31"/>
  <c r="G206" i="28"/>
  <c r="E206" i="28"/>
  <c r="I206" i="28"/>
  <c r="H205" i="25"/>
  <c r="H204" i="25"/>
  <c r="H194" i="25"/>
  <c r="H193" i="25"/>
  <c r="H192" i="25"/>
  <c r="H191" i="25"/>
  <c r="H190" i="25"/>
  <c r="H189" i="25"/>
  <c r="H188" i="25"/>
  <c r="H187" i="25"/>
  <c r="H186" i="25"/>
  <c r="H185" i="25"/>
  <c r="H184" i="25"/>
  <c r="G207" i="29"/>
  <c r="E207" i="29"/>
  <c r="H207" i="29" s="1"/>
  <c r="H185" i="27"/>
  <c r="H186" i="27"/>
  <c r="H187" i="27"/>
  <c r="H188" i="27"/>
  <c r="H189" i="27"/>
  <c r="H190" i="27"/>
  <c r="H191" i="27"/>
  <c r="H192" i="27"/>
  <c r="H193" i="27"/>
  <c r="H194" i="27"/>
  <c r="H195" i="27"/>
  <c r="H196" i="27"/>
  <c r="H197" i="27"/>
  <c r="H198" i="27"/>
  <c r="H205" i="27"/>
  <c r="H206" i="27"/>
  <c r="G207" i="27"/>
  <c r="E207" i="27"/>
  <c r="F205" i="26"/>
  <c r="F206" i="26"/>
  <c r="F207" i="26"/>
  <c r="F208" i="26"/>
  <c r="F209" i="26"/>
  <c r="F210" i="26"/>
  <c r="F211" i="26"/>
  <c r="F212" i="26"/>
  <c r="F213" i="26"/>
  <c r="F214" i="26"/>
  <c r="F215" i="26"/>
  <c r="F216" i="26"/>
  <c r="F217" i="26"/>
  <c r="F218" i="26"/>
  <c r="F219" i="26"/>
  <c r="F220" i="26"/>
  <c r="F221" i="26"/>
  <c r="F222" i="26"/>
  <c r="F223" i="26"/>
  <c r="F224" i="26"/>
  <c r="F225" i="26"/>
  <c r="F226" i="26"/>
  <c r="H205" i="26"/>
  <c r="H206" i="26"/>
  <c r="H207" i="26"/>
  <c r="H208" i="26"/>
  <c r="H209" i="26"/>
  <c r="H210" i="26"/>
  <c r="H211" i="26"/>
  <c r="H212" i="26"/>
  <c r="H213" i="26"/>
  <c r="H214" i="26"/>
  <c r="H215" i="26"/>
  <c r="H216" i="26"/>
  <c r="H217" i="26"/>
  <c r="H218" i="26"/>
  <c r="H219" i="26"/>
  <c r="H220" i="26"/>
  <c r="H221" i="26"/>
  <c r="H222" i="26"/>
  <c r="H223" i="26"/>
  <c r="H224" i="26"/>
  <c r="H225" i="26"/>
  <c r="H226" i="26"/>
  <c r="E227" i="26"/>
  <c r="I227" i="26" s="1"/>
  <c r="G227" i="26"/>
  <c r="H185" i="24"/>
  <c r="H186" i="24"/>
  <c r="H187" i="24"/>
  <c r="H188" i="24"/>
  <c r="H189" i="24"/>
  <c r="H190" i="24"/>
  <c r="H191" i="24"/>
  <c r="H192" i="24"/>
  <c r="H193" i="24"/>
  <c r="H194" i="24"/>
  <c r="H195" i="24"/>
  <c r="H196" i="24"/>
  <c r="H197" i="24"/>
  <c r="H198" i="24"/>
  <c r="H199" i="24"/>
  <c r="H205" i="24"/>
  <c r="H206" i="24"/>
  <c r="F185" i="24"/>
  <c r="F186" i="24"/>
  <c r="F187" i="24"/>
  <c r="F188" i="24"/>
  <c r="F189" i="24"/>
  <c r="F190" i="24"/>
  <c r="F191" i="24"/>
  <c r="F192" i="24"/>
  <c r="F193" i="24"/>
  <c r="F194" i="24"/>
  <c r="F195" i="24"/>
  <c r="F196" i="24"/>
  <c r="F197" i="24"/>
  <c r="F198" i="24"/>
  <c r="F199" i="24"/>
  <c r="F205" i="24"/>
  <c r="F206" i="24"/>
  <c r="G207" i="24"/>
  <c r="H207" i="24" s="1"/>
  <c r="E207" i="24"/>
  <c r="H195" i="7"/>
  <c r="H196" i="7"/>
  <c r="H197" i="7"/>
  <c r="H198" i="7"/>
  <c r="H199" i="7"/>
  <c r="H200" i="7"/>
  <c r="H201" i="7"/>
  <c r="H202" i="7"/>
  <c r="H203" i="7"/>
  <c r="H204" i="7"/>
  <c r="H205" i="7"/>
  <c r="H206" i="7"/>
  <c r="H207" i="7"/>
  <c r="H208" i="7"/>
  <c r="H209" i="7"/>
  <c r="H210" i="7"/>
  <c r="H211" i="7"/>
  <c r="H212" i="7"/>
  <c r="H213" i="7"/>
  <c r="H214" i="7"/>
  <c r="H215" i="7"/>
  <c r="H216" i="7"/>
  <c r="E217" i="7"/>
  <c r="H217" i="7" s="1"/>
  <c r="G217" i="7"/>
  <c r="G207" i="20"/>
  <c r="G207" i="23"/>
  <c r="H207" i="23" s="1"/>
  <c r="E207" i="23"/>
  <c r="E207" i="21"/>
  <c r="H207" i="21"/>
  <c r="I207" i="21" s="1"/>
  <c r="F186" i="23"/>
  <c r="F187" i="23"/>
  <c r="F188" i="23"/>
  <c r="F189" i="23"/>
  <c r="F190" i="23"/>
  <c r="F191" i="23"/>
  <c r="F192" i="23"/>
  <c r="F193" i="23"/>
  <c r="F194" i="23"/>
  <c r="F195" i="23"/>
  <c r="F196" i="23"/>
  <c r="F197" i="23"/>
  <c r="F198" i="23"/>
  <c r="F199" i="23"/>
  <c r="F205" i="23"/>
  <c r="F206" i="23"/>
  <c r="F185" i="23"/>
  <c r="E207" i="20"/>
  <c r="I207" i="20"/>
  <c r="F195" i="7"/>
  <c r="F196" i="7"/>
  <c r="F197" i="7"/>
  <c r="F198" i="7"/>
  <c r="F199" i="7"/>
  <c r="F200" i="7"/>
  <c r="F201" i="7"/>
  <c r="F202" i="7"/>
  <c r="F203" i="7"/>
  <c r="F204" i="7"/>
  <c r="F205" i="7"/>
  <c r="F206" i="7"/>
  <c r="F207" i="7"/>
  <c r="F208" i="7"/>
  <c r="F209" i="7"/>
  <c r="F210" i="7"/>
  <c r="F211" i="7"/>
  <c r="F212" i="7"/>
  <c r="F213" i="7"/>
  <c r="F214" i="7"/>
  <c r="F215" i="7"/>
  <c r="F216" i="7"/>
  <c r="H217" i="6"/>
  <c r="H218" i="6"/>
  <c r="H219" i="6"/>
  <c r="H220" i="6"/>
  <c r="H221" i="6"/>
  <c r="H222" i="6"/>
  <c r="H223" i="6"/>
  <c r="H224" i="6"/>
  <c r="H225" i="6"/>
  <c r="H226" i="6"/>
  <c r="H227" i="6"/>
  <c r="H228" i="6"/>
  <c r="H229" i="6"/>
  <c r="H230" i="6"/>
  <c r="H231" i="6"/>
  <c r="H233" i="6"/>
  <c r="H234" i="6"/>
  <c r="H235" i="6"/>
  <c r="H237" i="6"/>
  <c r="H216" i="6"/>
  <c r="E238" i="6"/>
  <c r="H238" i="6"/>
  <c r="F216" i="6"/>
  <c r="F217" i="6"/>
  <c r="F218" i="6"/>
  <c r="F219" i="6"/>
  <c r="F220" i="6"/>
  <c r="F221" i="6"/>
  <c r="F222" i="6"/>
  <c r="F223" i="6"/>
  <c r="F224" i="6"/>
  <c r="F225" i="6"/>
  <c r="F226" i="6"/>
  <c r="F227" i="6"/>
  <c r="F228" i="6"/>
  <c r="F229" i="6"/>
  <c r="F230" i="6"/>
  <c r="F231" i="6"/>
  <c r="F232" i="6"/>
  <c r="F233" i="6"/>
  <c r="F234" i="6"/>
  <c r="F235" i="6"/>
  <c r="F236" i="6"/>
  <c r="F237" i="6"/>
  <c r="D170" i="6"/>
  <c r="E170" i="6"/>
  <c r="F170" i="6"/>
  <c r="G170" i="6"/>
  <c r="H170" i="6"/>
  <c r="D175" i="6"/>
  <c r="E175" i="6"/>
  <c r="F175" i="6"/>
  <c r="G175" i="6"/>
  <c r="H175" i="6"/>
  <c r="D180" i="6"/>
  <c r="E180" i="6"/>
  <c r="F180" i="6"/>
  <c r="G180" i="6"/>
  <c r="H180" i="6"/>
  <c r="D185" i="6"/>
  <c r="E185" i="6"/>
  <c r="F185" i="6"/>
  <c r="G185" i="6"/>
  <c r="H185" i="6"/>
  <c r="D190" i="6"/>
  <c r="E190" i="6"/>
  <c r="F190" i="6"/>
  <c r="G190" i="6"/>
  <c r="H190" i="6"/>
  <c r="D195" i="6"/>
  <c r="E195" i="6"/>
  <c r="F195" i="6"/>
  <c r="G195" i="6"/>
  <c r="H195" i="6"/>
  <c r="C195" i="6"/>
  <c r="C190" i="6"/>
  <c r="C185" i="6"/>
  <c r="C180" i="6"/>
  <c r="C175" i="6"/>
  <c r="C170" i="6"/>
  <c r="D174" i="7"/>
  <c r="E174" i="7"/>
  <c r="F174" i="7"/>
  <c r="G174" i="7"/>
  <c r="H174" i="7"/>
  <c r="C174" i="7"/>
  <c r="D164" i="20"/>
  <c r="E164" i="20"/>
  <c r="F164" i="20"/>
  <c r="G164" i="20"/>
  <c r="H164" i="20"/>
  <c r="C164" i="20"/>
  <c r="D164" i="23"/>
  <c r="E164" i="23"/>
  <c r="F164" i="23"/>
  <c r="G164" i="23"/>
  <c r="H164" i="23"/>
  <c r="C164" i="23"/>
  <c r="D139" i="23"/>
  <c r="E139" i="23"/>
  <c r="F139" i="23"/>
  <c r="G139" i="23"/>
  <c r="H139" i="23"/>
  <c r="C139" i="23"/>
  <c r="D164" i="21"/>
  <c r="E164" i="21"/>
  <c r="F164" i="21"/>
  <c r="G164" i="21"/>
  <c r="H164" i="21"/>
  <c r="C164" i="21"/>
  <c r="D139" i="21"/>
  <c r="E139" i="21"/>
  <c r="F139" i="21"/>
  <c r="G139" i="21"/>
  <c r="H139" i="21"/>
  <c r="C139" i="21"/>
  <c r="D164" i="24"/>
  <c r="E164" i="24"/>
  <c r="F164" i="24"/>
  <c r="G164" i="24"/>
  <c r="H164" i="24"/>
  <c r="C164" i="24"/>
  <c r="D139" i="24"/>
  <c r="E139" i="24"/>
  <c r="F139" i="24"/>
  <c r="G139" i="24"/>
  <c r="C139" i="24"/>
  <c r="H139" i="24"/>
  <c r="H149" i="24"/>
  <c r="G149" i="24"/>
  <c r="F149" i="24"/>
  <c r="E149" i="24"/>
  <c r="D149" i="24"/>
  <c r="C149" i="24"/>
  <c r="H144" i="24"/>
  <c r="G144" i="24"/>
  <c r="F144" i="24"/>
  <c r="E144" i="24"/>
  <c r="D144" i="24"/>
  <c r="C144" i="24"/>
  <c r="D159" i="26"/>
  <c r="E159" i="26"/>
  <c r="F159" i="26"/>
  <c r="G159" i="26"/>
  <c r="H159" i="26"/>
  <c r="H184" i="26"/>
  <c r="G184" i="26"/>
  <c r="F184" i="26"/>
  <c r="E184" i="26"/>
  <c r="D184" i="26"/>
  <c r="C184" i="26"/>
  <c r="H179" i="26"/>
  <c r="G179" i="26"/>
  <c r="F179" i="26"/>
  <c r="E179" i="26"/>
  <c r="D179" i="26"/>
  <c r="C179" i="26"/>
  <c r="H174" i="26"/>
  <c r="G174" i="26"/>
  <c r="F174" i="26"/>
  <c r="E174" i="26"/>
  <c r="D174" i="26"/>
  <c r="C174" i="26"/>
  <c r="H169" i="26"/>
  <c r="G169" i="26"/>
  <c r="F169" i="26"/>
  <c r="E169" i="26"/>
  <c r="D169" i="26"/>
  <c r="C169" i="26"/>
  <c r="H164" i="26"/>
  <c r="G164" i="26"/>
  <c r="F164" i="26"/>
  <c r="E164" i="26"/>
  <c r="D164" i="26"/>
  <c r="C164" i="26"/>
  <c r="C159" i="26"/>
  <c r="H164" i="27"/>
  <c r="G164" i="27"/>
  <c r="F164" i="27"/>
  <c r="E164" i="27"/>
  <c r="D164" i="27"/>
  <c r="C164" i="27"/>
  <c r="H149" i="27"/>
  <c r="G149" i="27"/>
  <c r="F149" i="27"/>
  <c r="E149" i="27"/>
  <c r="D149" i="27"/>
  <c r="C149" i="27"/>
  <c r="H144" i="27"/>
  <c r="G144" i="27"/>
  <c r="F144" i="27"/>
  <c r="E144" i="27"/>
  <c r="D144" i="27"/>
  <c r="C144" i="27"/>
  <c r="H139" i="27"/>
  <c r="G139" i="27"/>
  <c r="F139" i="27"/>
  <c r="E139" i="27"/>
  <c r="D139" i="27"/>
  <c r="C139" i="27"/>
  <c r="D154" i="29"/>
  <c r="E154" i="29"/>
  <c r="F154" i="29"/>
  <c r="G154" i="29"/>
  <c r="H154" i="29"/>
  <c r="D149" i="29"/>
  <c r="E149" i="29"/>
  <c r="F149" i="29"/>
  <c r="G149" i="29"/>
  <c r="H149" i="29"/>
  <c r="D144" i="29"/>
  <c r="E144" i="29"/>
  <c r="F144" i="29"/>
  <c r="G144" i="29"/>
  <c r="H144" i="29"/>
  <c r="D159" i="29"/>
  <c r="E159" i="29"/>
  <c r="F159" i="29"/>
  <c r="G159" i="29"/>
  <c r="H159" i="29"/>
  <c r="D164" i="29"/>
  <c r="E164" i="29"/>
  <c r="F164" i="29"/>
  <c r="G164" i="29"/>
  <c r="H164" i="29"/>
  <c r="C164" i="29"/>
  <c r="C159" i="29"/>
  <c r="C154" i="29"/>
  <c r="C149" i="29"/>
  <c r="C144" i="29"/>
  <c r="C139" i="29"/>
  <c r="H139" i="29"/>
  <c r="G139" i="29"/>
  <c r="F139" i="29"/>
  <c r="E139" i="29"/>
  <c r="D139" i="29"/>
  <c r="C149" i="7"/>
  <c r="D149" i="7"/>
  <c r="E149" i="7"/>
  <c r="F149" i="7"/>
  <c r="G149" i="7"/>
  <c r="H149" i="7"/>
  <c r="C154" i="7"/>
  <c r="D154" i="7"/>
  <c r="E154" i="7"/>
  <c r="F154" i="7"/>
  <c r="G154" i="7"/>
  <c r="H154" i="7"/>
  <c r="C159" i="7"/>
  <c r="D159" i="7"/>
  <c r="E159" i="7"/>
  <c r="F159" i="7"/>
  <c r="G159" i="7"/>
  <c r="H159" i="7"/>
  <c r="C164" i="7"/>
  <c r="D164" i="7"/>
  <c r="E164" i="7"/>
  <c r="F164" i="7"/>
  <c r="G164" i="7"/>
  <c r="H164" i="7"/>
  <c r="C169" i="7"/>
  <c r="D169" i="7"/>
  <c r="E169" i="7"/>
  <c r="F169" i="7"/>
  <c r="G169" i="7"/>
  <c r="H169" i="7"/>
  <c r="D164" i="25"/>
  <c r="E164" i="25"/>
  <c r="F164" i="25"/>
  <c r="G164" i="25"/>
  <c r="H164" i="25"/>
  <c r="C164" i="25"/>
  <c r="H159" i="25"/>
  <c r="G159" i="25"/>
  <c r="F159" i="25"/>
  <c r="E159" i="25"/>
  <c r="D159" i="25"/>
  <c r="C159" i="25"/>
  <c r="H154" i="25"/>
  <c r="G154" i="25"/>
  <c r="F154" i="25"/>
  <c r="E154" i="25"/>
  <c r="D154" i="25"/>
  <c r="C154" i="25"/>
  <c r="H149" i="25"/>
  <c r="G149" i="25"/>
  <c r="F149" i="25"/>
  <c r="E149" i="25"/>
  <c r="D149" i="25"/>
  <c r="C149" i="25"/>
  <c r="H144" i="25"/>
  <c r="G144" i="25"/>
  <c r="F144" i="25"/>
  <c r="E144" i="25"/>
  <c r="D144" i="25"/>
  <c r="C144" i="25"/>
  <c r="H139" i="25"/>
  <c r="G139" i="25"/>
  <c r="F139" i="25"/>
  <c r="E139" i="25"/>
  <c r="D139" i="25"/>
  <c r="C139" i="25"/>
  <c r="E139" i="28"/>
  <c r="F139" i="28"/>
  <c r="G139" i="28"/>
  <c r="H139" i="28"/>
  <c r="D139" i="28"/>
  <c r="D164" i="28"/>
  <c r="E164" i="28"/>
  <c r="F164" i="28"/>
  <c r="G164" i="28"/>
  <c r="H164" i="28"/>
  <c r="C164" i="28"/>
  <c r="C139" i="28"/>
  <c r="E164" i="30"/>
  <c r="F164" i="30"/>
  <c r="G164" i="30"/>
  <c r="H164" i="30"/>
  <c r="I164" i="30"/>
  <c r="D164" i="31"/>
  <c r="E164" i="31"/>
  <c r="F164" i="31"/>
  <c r="G164" i="31"/>
  <c r="H164" i="31"/>
  <c r="C164" i="31"/>
  <c r="D159" i="31"/>
  <c r="E159" i="31"/>
  <c r="F159" i="31"/>
  <c r="G159" i="31"/>
  <c r="H159" i="31"/>
  <c r="C159" i="31"/>
  <c r="D154" i="31"/>
  <c r="E154" i="31"/>
  <c r="F154" i="31"/>
  <c r="G154" i="31"/>
  <c r="H154" i="31"/>
  <c r="C154" i="31"/>
  <c r="D149" i="31"/>
  <c r="E149" i="31"/>
  <c r="F149" i="31"/>
  <c r="G149" i="31"/>
  <c r="H149" i="31"/>
  <c r="C149" i="31"/>
  <c r="D144" i="31"/>
  <c r="E144" i="31"/>
  <c r="F144" i="31"/>
  <c r="G144" i="31"/>
  <c r="H144" i="31"/>
  <c r="C144" i="31"/>
  <c r="H141" i="32"/>
  <c r="D141" i="32"/>
  <c r="E141" i="32"/>
  <c r="F141" i="32"/>
  <c r="G141" i="32"/>
  <c r="C141" i="32"/>
  <c r="H107" i="6"/>
  <c r="E124" i="6"/>
  <c r="H106" i="6"/>
  <c r="F123" i="6" s="1"/>
  <c r="F124" i="6"/>
  <c r="C123" i="6"/>
  <c r="H122" i="6"/>
  <c r="G122" i="6"/>
  <c r="F122" i="6"/>
  <c r="E122" i="6"/>
  <c r="D122" i="6"/>
  <c r="C122" i="6"/>
  <c r="B122" i="6"/>
  <c r="H121" i="6"/>
  <c r="G121" i="6"/>
  <c r="F121" i="6"/>
  <c r="E121" i="6"/>
  <c r="D121" i="6"/>
  <c r="C121" i="6"/>
  <c r="B121" i="6"/>
  <c r="H120" i="6"/>
  <c r="G120" i="6"/>
  <c r="F120" i="6"/>
  <c r="E120" i="6"/>
  <c r="D120" i="6"/>
  <c r="C120" i="6"/>
  <c r="B120" i="6"/>
  <c r="H119" i="6"/>
  <c r="G119" i="6"/>
  <c r="F119" i="6"/>
  <c r="E119" i="6"/>
  <c r="D119" i="6"/>
  <c r="C119" i="6"/>
  <c r="B119" i="6"/>
  <c r="H118" i="6"/>
  <c r="G118" i="6"/>
  <c r="F118" i="6"/>
  <c r="E118" i="6"/>
  <c r="D118" i="6"/>
  <c r="C118" i="6"/>
  <c r="B118" i="6"/>
  <c r="H117" i="6"/>
  <c r="G117" i="6"/>
  <c r="F117" i="6"/>
  <c r="E117" i="6"/>
  <c r="D117" i="6"/>
  <c r="C117" i="6"/>
  <c r="B117" i="6"/>
  <c r="H116" i="6"/>
  <c r="G116" i="6"/>
  <c r="F116" i="6"/>
  <c r="E116" i="6"/>
  <c r="D116" i="6"/>
  <c r="C116" i="6"/>
  <c r="B116" i="6"/>
  <c r="H115" i="6"/>
  <c r="G115" i="6"/>
  <c r="F115" i="6"/>
  <c r="E115" i="6"/>
  <c r="D115" i="6"/>
  <c r="C115" i="6"/>
  <c r="B115" i="6"/>
  <c r="H114" i="6"/>
  <c r="G114" i="6"/>
  <c r="F114" i="6"/>
  <c r="E114" i="6"/>
  <c r="D114" i="6"/>
  <c r="C114" i="6"/>
  <c r="B114" i="6"/>
  <c r="H113" i="6"/>
  <c r="G113" i="6"/>
  <c r="F113" i="6"/>
  <c r="E113" i="6"/>
  <c r="D113" i="6"/>
  <c r="C113" i="6"/>
  <c r="B113" i="6"/>
  <c r="H106" i="7"/>
  <c r="E123" i="7"/>
  <c r="H105" i="7"/>
  <c r="F122" i="7"/>
  <c r="H121" i="7"/>
  <c r="G121" i="7"/>
  <c r="F121" i="7"/>
  <c r="E121" i="7"/>
  <c r="D121" i="7"/>
  <c r="C121" i="7"/>
  <c r="B121" i="7"/>
  <c r="H120" i="7"/>
  <c r="G120" i="7"/>
  <c r="F120" i="7"/>
  <c r="E120" i="7"/>
  <c r="D120" i="7"/>
  <c r="C120" i="7"/>
  <c r="B120" i="7"/>
  <c r="H119" i="7"/>
  <c r="G119" i="7"/>
  <c r="F119" i="7"/>
  <c r="E119" i="7"/>
  <c r="D119" i="7"/>
  <c r="C119" i="7"/>
  <c r="B119" i="7"/>
  <c r="H118" i="7"/>
  <c r="G118" i="7"/>
  <c r="F118" i="7"/>
  <c r="E118" i="7"/>
  <c r="D118" i="7"/>
  <c r="C118" i="7"/>
  <c r="B118" i="7"/>
  <c r="H117" i="7"/>
  <c r="G117" i="7"/>
  <c r="F117" i="7"/>
  <c r="E117" i="7"/>
  <c r="D117" i="7"/>
  <c r="C117" i="7"/>
  <c r="B117" i="7"/>
  <c r="H116" i="7"/>
  <c r="G116" i="7"/>
  <c r="F116" i="7"/>
  <c r="E116" i="7"/>
  <c r="D116" i="7"/>
  <c r="C116" i="7"/>
  <c r="B116" i="7"/>
  <c r="H115" i="7"/>
  <c r="G115" i="7"/>
  <c r="F115" i="7"/>
  <c r="E115" i="7"/>
  <c r="D115" i="7"/>
  <c r="C115" i="7"/>
  <c r="B115" i="7"/>
  <c r="H114" i="7"/>
  <c r="G114" i="7"/>
  <c r="F114" i="7"/>
  <c r="E114" i="7"/>
  <c r="D114" i="7"/>
  <c r="C114" i="7"/>
  <c r="B114" i="7"/>
  <c r="H113" i="7"/>
  <c r="G113" i="7"/>
  <c r="F113" i="7"/>
  <c r="E113" i="7"/>
  <c r="D113" i="7"/>
  <c r="C113" i="7"/>
  <c r="B113" i="7"/>
  <c r="H112" i="7"/>
  <c r="G112" i="7"/>
  <c r="F112" i="7"/>
  <c r="E112" i="7"/>
  <c r="D112" i="7"/>
  <c r="C112" i="7"/>
  <c r="B112" i="7"/>
  <c r="B111" i="20"/>
  <c r="B110" i="20"/>
  <c r="B109" i="20"/>
  <c r="B108" i="20"/>
  <c r="B107" i="20"/>
  <c r="B106" i="20"/>
  <c r="B105" i="20"/>
  <c r="B104" i="20"/>
  <c r="B103" i="20"/>
  <c r="B102" i="20"/>
  <c r="H112" i="23"/>
  <c r="H113" i="23"/>
  <c r="G113" i="23"/>
  <c r="F113" i="23"/>
  <c r="E113" i="23"/>
  <c r="D113" i="23"/>
  <c r="B111" i="23"/>
  <c r="H110" i="23"/>
  <c r="G110" i="23"/>
  <c r="F110" i="23"/>
  <c r="E110" i="23"/>
  <c r="D110" i="23"/>
  <c r="B110" i="23"/>
  <c r="H109" i="23"/>
  <c r="G109" i="23"/>
  <c r="F109" i="23"/>
  <c r="E109" i="23"/>
  <c r="D109" i="23"/>
  <c r="B109" i="23"/>
  <c r="H108" i="23"/>
  <c r="G108" i="23"/>
  <c r="F108" i="23"/>
  <c r="E108" i="23"/>
  <c r="D108" i="23"/>
  <c r="B108" i="23"/>
  <c r="H107" i="23"/>
  <c r="G107" i="23"/>
  <c r="F107" i="23"/>
  <c r="E107" i="23"/>
  <c r="D107" i="23"/>
  <c r="B107" i="23"/>
  <c r="H106" i="23"/>
  <c r="G106" i="23"/>
  <c r="F106" i="23"/>
  <c r="E106" i="23"/>
  <c r="D106" i="23"/>
  <c r="B106" i="23"/>
  <c r="H105" i="23"/>
  <c r="G105" i="23"/>
  <c r="F105" i="23"/>
  <c r="E105" i="23"/>
  <c r="D105" i="23"/>
  <c r="B105" i="23"/>
  <c r="H104" i="23"/>
  <c r="G104" i="23"/>
  <c r="F104" i="23"/>
  <c r="E104" i="23"/>
  <c r="D104" i="23"/>
  <c r="B104" i="23"/>
  <c r="H103" i="23"/>
  <c r="G103" i="23"/>
  <c r="F103" i="23"/>
  <c r="E103" i="23"/>
  <c r="D103" i="23"/>
  <c r="B103" i="23"/>
  <c r="B102" i="23"/>
  <c r="H96" i="21"/>
  <c r="E113" i="21"/>
  <c r="H95" i="21"/>
  <c r="F112" i="21" s="1"/>
  <c r="E112" i="23"/>
  <c r="F112" i="23"/>
  <c r="G112" i="23"/>
  <c r="D112" i="23"/>
  <c r="H113" i="21"/>
  <c r="C113" i="21"/>
  <c r="H112" i="21"/>
  <c r="E112" i="21"/>
  <c r="D112" i="21"/>
  <c r="C112" i="21"/>
  <c r="H111" i="21"/>
  <c r="G111" i="21"/>
  <c r="F111" i="21"/>
  <c r="E111" i="21"/>
  <c r="D111" i="21"/>
  <c r="C111" i="21"/>
  <c r="B111" i="21"/>
  <c r="H110" i="21"/>
  <c r="G110" i="21"/>
  <c r="F110" i="21"/>
  <c r="E110" i="21"/>
  <c r="D110" i="21"/>
  <c r="C110" i="21"/>
  <c r="B110" i="21"/>
  <c r="H109" i="21"/>
  <c r="G109" i="21"/>
  <c r="F109" i="21"/>
  <c r="E109" i="21"/>
  <c r="D109" i="21"/>
  <c r="C109" i="21"/>
  <c r="B109" i="21"/>
  <c r="H108" i="21"/>
  <c r="G108" i="21"/>
  <c r="F108" i="21"/>
  <c r="E108" i="21"/>
  <c r="D108" i="21"/>
  <c r="C108" i="21"/>
  <c r="B108" i="21"/>
  <c r="H107" i="21"/>
  <c r="G107" i="21"/>
  <c r="F107" i="21"/>
  <c r="E107" i="21"/>
  <c r="D107" i="21"/>
  <c r="C107" i="21"/>
  <c r="B107" i="21"/>
  <c r="H106" i="21"/>
  <c r="G106" i="21"/>
  <c r="F106" i="21"/>
  <c r="E106" i="21"/>
  <c r="D106" i="21"/>
  <c r="C106" i="21"/>
  <c r="B106" i="21"/>
  <c r="H105" i="21"/>
  <c r="G105" i="21"/>
  <c r="F105" i="21"/>
  <c r="E105" i="21"/>
  <c r="D105" i="21"/>
  <c r="C105" i="21"/>
  <c r="B105" i="21"/>
  <c r="H104" i="21"/>
  <c r="G104" i="21"/>
  <c r="F104" i="21"/>
  <c r="E104" i="21"/>
  <c r="D104" i="21"/>
  <c r="C104" i="21"/>
  <c r="B104" i="21"/>
  <c r="H103" i="21"/>
  <c r="G103" i="21"/>
  <c r="F103" i="21"/>
  <c r="E103" i="21"/>
  <c r="D103" i="21"/>
  <c r="C103" i="21"/>
  <c r="B103" i="21"/>
  <c r="H102" i="21"/>
  <c r="G102" i="21"/>
  <c r="F102" i="21"/>
  <c r="E102" i="21"/>
  <c r="D102" i="21"/>
  <c r="C102" i="21"/>
  <c r="B102" i="21"/>
  <c r="H96" i="24"/>
  <c r="E113" i="24" s="1"/>
  <c r="H95" i="24"/>
  <c r="E112" i="24"/>
  <c r="F113" i="24"/>
  <c r="H112" i="24"/>
  <c r="D112" i="24"/>
  <c r="H111" i="24"/>
  <c r="G111" i="24"/>
  <c r="F111" i="24"/>
  <c r="E111" i="24"/>
  <c r="D111" i="24"/>
  <c r="C111" i="24"/>
  <c r="B111" i="24"/>
  <c r="H110" i="24"/>
  <c r="G110" i="24"/>
  <c r="F110" i="24"/>
  <c r="E110" i="24"/>
  <c r="D110" i="24"/>
  <c r="C110" i="24"/>
  <c r="B110" i="24"/>
  <c r="H109" i="24"/>
  <c r="G109" i="24"/>
  <c r="F109" i="24"/>
  <c r="E109" i="24"/>
  <c r="D109" i="24"/>
  <c r="C109" i="24"/>
  <c r="B109" i="24"/>
  <c r="H108" i="24"/>
  <c r="G108" i="24"/>
  <c r="F108" i="24"/>
  <c r="E108" i="24"/>
  <c r="D108" i="24"/>
  <c r="C108" i="24"/>
  <c r="B108" i="24"/>
  <c r="H107" i="24"/>
  <c r="G107" i="24"/>
  <c r="F107" i="24"/>
  <c r="E107" i="24"/>
  <c r="D107" i="24"/>
  <c r="C107" i="24"/>
  <c r="B107" i="24"/>
  <c r="H106" i="24"/>
  <c r="G106" i="24"/>
  <c r="F106" i="24"/>
  <c r="E106" i="24"/>
  <c r="D106" i="24"/>
  <c r="C106" i="24"/>
  <c r="B106" i="24"/>
  <c r="H105" i="24"/>
  <c r="G105" i="24"/>
  <c r="F105" i="24"/>
  <c r="E105" i="24"/>
  <c r="D105" i="24"/>
  <c r="C105" i="24"/>
  <c r="B105" i="24"/>
  <c r="H104" i="24"/>
  <c r="G104" i="24"/>
  <c r="F104" i="24"/>
  <c r="E104" i="24"/>
  <c r="D104" i="24"/>
  <c r="C104" i="24"/>
  <c r="B104" i="24"/>
  <c r="H103" i="24"/>
  <c r="G103" i="24"/>
  <c r="F103" i="24"/>
  <c r="E103" i="24"/>
  <c r="D103" i="24"/>
  <c r="C103" i="24"/>
  <c r="B103" i="24"/>
  <c r="H102" i="24"/>
  <c r="G102" i="24"/>
  <c r="F102" i="24"/>
  <c r="E102" i="24"/>
  <c r="D102" i="24"/>
  <c r="C102" i="24"/>
  <c r="B102" i="24"/>
  <c r="H106" i="26"/>
  <c r="H123" i="26" s="1"/>
  <c r="H105" i="26"/>
  <c r="H122" i="26" s="1"/>
  <c r="H96" i="27"/>
  <c r="H113" i="27"/>
  <c r="H95" i="27"/>
  <c r="H112" i="27" s="1"/>
  <c r="H96" i="29"/>
  <c r="E113" i="29"/>
  <c r="H95" i="29"/>
  <c r="G112" i="29"/>
  <c r="H96" i="25"/>
  <c r="G113" i="25"/>
  <c r="H95" i="25"/>
  <c r="H96" i="28"/>
  <c r="F113" i="28" s="1"/>
  <c r="H95" i="28"/>
  <c r="F123" i="26"/>
  <c r="G122" i="26"/>
  <c r="H121" i="26"/>
  <c r="G121" i="26"/>
  <c r="F121" i="26"/>
  <c r="E121" i="26"/>
  <c r="D121" i="26"/>
  <c r="C121" i="26"/>
  <c r="B121" i="26"/>
  <c r="H120" i="26"/>
  <c r="G120" i="26"/>
  <c r="F120" i="26"/>
  <c r="E120" i="26"/>
  <c r="D120" i="26"/>
  <c r="C120" i="26"/>
  <c r="B120" i="26"/>
  <c r="H119" i="26"/>
  <c r="G119" i="26"/>
  <c r="F119" i="26"/>
  <c r="E119" i="26"/>
  <c r="D119" i="26"/>
  <c r="C119" i="26"/>
  <c r="B119" i="26"/>
  <c r="H118" i="26"/>
  <c r="G118" i="26"/>
  <c r="F118" i="26"/>
  <c r="E118" i="26"/>
  <c r="D118" i="26"/>
  <c r="C118" i="26"/>
  <c r="B118" i="26"/>
  <c r="H117" i="26"/>
  <c r="G117" i="26"/>
  <c r="F117" i="26"/>
  <c r="E117" i="26"/>
  <c r="D117" i="26"/>
  <c r="C117" i="26"/>
  <c r="B117" i="26"/>
  <c r="H116" i="26"/>
  <c r="G116" i="26"/>
  <c r="F116" i="26"/>
  <c r="E116" i="26"/>
  <c r="D116" i="26"/>
  <c r="C116" i="26"/>
  <c r="B116" i="26"/>
  <c r="H115" i="26"/>
  <c r="G115" i="26"/>
  <c r="F115" i="26"/>
  <c r="E115" i="26"/>
  <c r="D115" i="26"/>
  <c r="C115" i="26"/>
  <c r="B115" i="26"/>
  <c r="H114" i="26"/>
  <c r="G114" i="26"/>
  <c r="F114" i="26"/>
  <c r="E114" i="26"/>
  <c r="D114" i="26"/>
  <c r="C114" i="26"/>
  <c r="B114" i="26"/>
  <c r="H113" i="26"/>
  <c r="G113" i="26"/>
  <c r="F113" i="26"/>
  <c r="E113" i="26"/>
  <c r="D113" i="26"/>
  <c r="C113" i="26"/>
  <c r="B113" i="26"/>
  <c r="H112" i="26"/>
  <c r="G112" i="26"/>
  <c r="F112" i="26"/>
  <c r="E112" i="26"/>
  <c r="D112" i="26"/>
  <c r="C112" i="26"/>
  <c r="B112" i="26"/>
  <c r="F113" i="27"/>
  <c r="E112" i="27"/>
  <c r="H111" i="27"/>
  <c r="G111" i="27"/>
  <c r="F111" i="27"/>
  <c r="E111" i="27"/>
  <c r="D111" i="27"/>
  <c r="C111" i="27"/>
  <c r="B111" i="27"/>
  <c r="H110" i="27"/>
  <c r="G110" i="27"/>
  <c r="F110" i="27"/>
  <c r="E110" i="27"/>
  <c r="D110" i="27"/>
  <c r="C110" i="27"/>
  <c r="B110" i="27"/>
  <c r="H109" i="27"/>
  <c r="G109" i="27"/>
  <c r="F109" i="27"/>
  <c r="E109" i="27"/>
  <c r="D109" i="27"/>
  <c r="C109" i="27"/>
  <c r="B109" i="27"/>
  <c r="H108" i="27"/>
  <c r="G108" i="27"/>
  <c r="F108" i="27"/>
  <c r="E108" i="27"/>
  <c r="D108" i="27"/>
  <c r="C108" i="27"/>
  <c r="B108" i="27"/>
  <c r="H107" i="27"/>
  <c r="G107" i="27"/>
  <c r="F107" i="27"/>
  <c r="E107" i="27"/>
  <c r="D107" i="27"/>
  <c r="C107" i="27"/>
  <c r="B107" i="27"/>
  <c r="H106" i="27"/>
  <c r="G106" i="27"/>
  <c r="F106" i="27"/>
  <c r="E106" i="27"/>
  <c r="D106" i="27"/>
  <c r="C106" i="27"/>
  <c r="B106" i="27"/>
  <c r="H105" i="27"/>
  <c r="G105" i="27"/>
  <c r="F105" i="27"/>
  <c r="E105" i="27"/>
  <c r="D105" i="27"/>
  <c r="C105" i="27"/>
  <c r="B105" i="27"/>
  <c r="H104" i="27"/>
  <c r="G104" i="27"/>
  <c r="F104" i="27"/>
  <c r="E104" i="27"/>
  <c r="D104" i="27"/>
  <c r="C104" i="27"/>
  <c r="B104" i="27"/>
  <c r="H103" i="27"/>
  <c r="G103" i="27"/>
  <c r="F103" i="27"/>
  <c r="E103" i="27"/>
  <c r="D103" i="27"/>
  <c r="C103" i="27"/>
  <c r="B103" i="27"/>
  <c r="H102" i="27"/>
  <c r="G102" i="27"/>
  <c r="F102" i="27"/>
  <c r="E102" i="27"/>
  <c r="D102" i="27"/>
  <c r="C102" i="27"/>
  <c r="B102" i="27"/>
  <c r="H113" i="29"/>
  <c r="F113" i="29"/>
  <c r="D113" i="29"/>
  <c r="H112" i="29"/>
  <c r="F112" i="29"/>
  <c r="E112" i="29"/>
  <c r="D112" i="29"/>
  <c r="H111" i="29"/>
  <c r="G111" i="29"/>
  <c r="F111" i="29"/>
  <c r="E111" i="29"/>
  <c r="D111" i="29"/>
  <c r="C111" i="29"/>
  <c r="B111" i="29"/>
  <c r="H110" i="29"/>
  <c r="G110" i="29"/>
  <c r="F110" i="29"/>
  <c r="E110" i="29"/>
  <c r="D110" i="29"/>
  <c r="C110" i="29"/>
  <c r="B110" i="29"/>
  <c r="H109" i="29"/>
  <c r="G109" i="29"/>
  <c r="F109" i="29"/>
  <c r="E109" i="29"/>
  <c r="D109" i="29"/>
  <c r="C109" i="29"/>
  <c r="B109" i="29"/>
  <c r="H108" i="29"/>
  <c r="G108" i="29"/>
  <c r="F108" i="29"/>
  <c r="E108" i="29"/>
  <c r="D108" i="29"/>
  <c r="C108" i="29"/>
  <c r="B108" i="29"/>
  <c r="H107" i="29"/>
  <c r="G107" i="29"/>
  <c r="F107" i="29"/>
  <c r="E107" i="29"/>
  <c r="D107" i="29"/>
  <c r="C107" i="29"/>
  <c r="B107" i="29"/>
  <c r="H106" i="29"/>
  <c r="G106" i="29"/>
  <c r="F106" i="29"/>
  <c r="E106" i="29"/>
  <c r="D106" i="29"/>
  <c r="C106" i="29"/>
  <c r="B106" i="29"/>
  <c r="H105" i="29"/>
  <c r="G105" i="29"/>
  <c r="F105" i="29"/>
  <c r="E105" i="29"/>
  <c r="D105" i="29"/>
  <c r="C105" i="29"/>
  <c r="B105" i="29"/>
  <c r="H104" i="29"/>
  <c r="G104" i="29"/>
  <c r="F104" i="29"/>
  <c r="E104" i="29"/>
  <c r="D104" i="29"/>
  <c r="C104" i="29"/>
  <c r="B104" i="29"/>
  <c r="H103" i="29"/>
  <c r="G103" i="29"/>
  <c r="F103" i="29"/>
  <c r="E103" i="29"/>
  <c r="D103" i="29"/>
  <c r="C103" i="29"/>
  <c r="B103" i="29"/>
  <c r="H102" i="29"/>
  <c r="G102" i="29"/>
  <c r="F102" i="29"/>
  <c r="E102" i="29"/>
  <c r="D102" i="29"/>
  <c r="C102" i="29"/>
  <c r="B102" i="29"/>
  <c r="H113" i="25"/>
  <c r="F113" i="25"/>
  <c r="E113" i="25"/>
  <c r="D113" i="25"/>
  <c r="H112" i="25"/>
  <c r="G112" i="25"/>
  <c r="F112" i="25"/>
  <c r="E112" i="25"/>
  <c r="D112" i="25"/>
  <c r="C112" i="25"/>
  <c r="B111" i="25"/>
  <c r="H110" i="25"/>
  <c r="B110" i="25"/>
  <c r="H109" i="25"/>
  <c r="G109" i="25"/>
  <c r="F109" i="25"/>
  <c r="E109" i="25"/>
  <c r="D109" i="25"/>
  <c r="C109" i="25"/>
  <c r="B109" i="25"/>
  <c r="H108" i="25"/>
  <c r="G108" i="25"/>
  <c r="F108" i="25"/>
  <c r="E108" i="25"/>
  <c r="D108" i="25"/>
  <c r="C108" i="25"/>
  <c r="B108" i="25"/>
  <c r="H107" i="25"/>
  <c r="G107" i="25"/>
  <c r="F107" i="25"/>
  <c r="E107" i="25"/>
  <c r="D107" i="25"/>
  <c r="C107" i="25"/>
  <c r="B107" i="25"/>
  <c r="H106" i="25"/>
  <c r="G106" i="25"/>
  <c r="F106" i="25"/>
  <c r="E106" i="25"/>
  <c r="D106" i="25"/>
  <c r="C106" i="25"/>
  <c r="B106" i="25"/>
  <c r="H105" i="25"/>
  <c r="G105" i="25"/>
  <c r="F105" i="25"/>
  <c r="E105" i="25"/>
  <c r="D105" i="25"/>
  <c r="C105" i="25"/>
  <c r="B105" i="25"/>
  <c r="H104" i="25"/>
  <c r="G104" i="25"/>
  <c r="F104" i="25"/>
  <c r="E104" i="25"/>
  <c r="D104" i="25"/>
  <c r="C104" i="25"/>
  <c r="B104" i="25"/>
  <c r="H103" i="25"/>
  <c r="G103" i="25"/>
  <c r="F103" i="25"/>
  <c r="E103" i="25"/>
  <c r="D103" i="25"/>
  <c r="C103" i="25"/>
  <c r="B103" i="25"/>
  <c r="H102" i="25"/>
  <c r="G102" i="25"/>
  <c r="F102" i="25"/>
  <c r="E102" i="25"/>
  <c r="D102" i="25"/>
  <c r="C102" i="25"/>
  <c r="B102" i="25"/>
  <c r="F103" i="28"/>
  <c r="F104" i="28"/>
  <c r="F105" i="28"/>
  <c r="F106" i="28"/>
  <c r="F107" i="28"/>
  <c r="F108" i="28"/>
  <c r="F109" i="28"/>
  <c r="F110" i="28"/>
  <c r="F111" i="28"/>
  <c r="F112" i="28"/>
  <c r="F102" i="28"/>
  <c r="H111" i="28"/>
  <c r="G111" i="28"/>
  <c r="E111" i="28"/>
  <c r="D111" i="28"/>
  <c r="C111" i="28"/>
  <c r="B111" i="28"/>
  <c r="H110" i="28"/>
  <c r="G110" i="28"/>
  <c r="E110" i="28"/>
  <c r="D110" i="28"/>
  <c r="C110" i="28"/>
  <c r="B110" i="28"/>
  <c r="H109" i="28"/>
  <c r="G109" i="28"/>
  <c r="E109" i="28"/>
  <c r="D109" i="28"/>
  <c r="C109" i="28"/>
  <c r="B109" i="28"/>
  <c r="H108" i="28"/>
  <c r="G108" i="28"/>
  <c r="E108" i="28"/>
  <c r="D108" i="28"/>
  <c r="C108" i="28"/>
  <c r="B108" i="28"/>
  <c r="H107" i="28"/>
  <c r="G107" i="28"/>
  <c r="E107" i="28"/>
  <c r="D107" i="28"/>
  <c r="C107" i="28"/>
  <c r="B107" i="28"/>
  <c r="H106" i="28"/>
  <c r="G106" i="28"/>
  <c r="E106" i="28"/>
  <c r="D106" i="28"/>
  <c r="C106" i="28"/>
  <c r="B106" i="28"/>
  <c r="H105" i="28"/>
  <c r="G105" i="28"/>
  <c r="E105" i="28"/>
  <c r="D105" i="28"/>
  <c r="C105" i="28"/>
  <c r="B105" i="28"/>
  <c r="H104" i="28"/>
  <c r="G104" i="28"/>
  <c r="E104" i="28"/>
  <c r="D104" i="28"/>
  <c r="C104" i="28"/>
  <c r="B104" i="28"/>
  <c r="H103" i="28"/>
  <c r="G103" i="28"/>
  <c r="E103" i="28"/>
  <c r="D103" i="28"/>
  <c r="C103" i="28"/>
  <c r="B103" i="28"/>
  <c r="H102" i="28"/>
  <c r="G102" i="28"/>
  <c r="E102" i="28"/>
  <c r="D102" i="28"/>
  <c r="C102" i="28"/>
  <c r="B102" i="28"/>
  <c r="G112" i="28"/>
  <c r="D112" i="28"/>
  <c r="H112" i="28"/>
  <c r="C112" i="28"/>
  <c r="E112" i="28"/>
  <c r="H103" i="30"/>
  <c r="H104" i="30"/>
  <c r="H105" i="30"/>
  <c r="H106" i="30"/>
  <c r="H107" i="30"/>
  <c r="H108" i="30"/>
  <c r="H109" i="30"/>
  <c r="H110" i="30"/>
  <c r="H111" i="30"/>
  <c r="H95" i="30"/>
  <c r="H112" i="30"/>
  <c r="H96" i="30"/>
  <c r="H113" i="30"/>
  <c r="H77" i="30"/>
  <c r="H59" i="30"/>
  <c r="H79" i="30"/>
  <c r="H78" i="30"/>
  <c r="H61" i="30"/>
  <c r="H60" i="30"/>
  <c r="E113" i="30"/>
  <c r="B111" i="30"/>
  <c r="B110" i="30"/>
  <c r="G109" i="30"/>
  <c r="F109" i="30"/>
  <c r="E109" i="30"/>
  <c r="D109" i="30"/>
  <c r="C109" i="30"/>
  <c r="B109" i="30"/>
  <c r="G108" i="30"/>
  <c r="F108" i="30"/>
  <c r="E108" i="30"/>
  <c r="D108" i="30"/>
  <c r="C108" i="30"/>
  <c r="B108" i="30"/>
  <c r="G107" i="30"/>
  <c r="F107" i="30"/>
  <c r="E107" i="30"/>
  <c r="D107" i="30"/>
  <c r="C107" i="30"/>
  <c r="B107" i="30"/>
  <c r="G106" i="30"/>
  <c r="F106" i="30"/>
  <c r="E106" i="30"/>
  <c r="D106" i="30"/>
  <c r="C106" i="30"/>
  <c r="B106" i="30"/>
  <c r="G105" i="30"/>
  <c r="F105" i="30"/>
  <c r="E105" i="30"/>
  <c r="D105" i="30"/>
  <c r="C105" i="30"/>
  <c r="B105" i="30"/>
  <c r="G104" i="30"/>
  <c r="F104" i="30"/>
  <c r="E104" i="30"/>
  <c r="D104" i="30"/>
  <c r="C104" i="30"/>
  <c r="B104" i="30"/>
  <c r="G103" i="30"/>
  <c r="F103" i="30"/>
  <c r="E103" i="30"/>
  <c r="D103" i="30"/>
  <c r="C103" i="30"/>
  <c r="B103" i="30"/>
  <c r="H102" i="30"/>
  <c r="G102" i="30"/>
  <c r="F102" i="30"/>
  <c r="E102" i="30"/>
  <c r="D102" i="30"/>
  <c r="C102" i="30"/>
  <c r="B102" i="30"/>
  <c r="G112" i="30"/>
  <c r="C113" i="30"/>
  <c r="G113" i="30"/>
  <c r="D113" i="30"/>
  <c r="G68" i="31"/>
  <c r="G69" i="31"/>
  <c r="G70" i="31"/>
  <c r="G71" i="31"/>
  <c r="G72" i="31"/>
  <c r="G73" i="31"/>
  <c r="G74" i="31"/>
  <c r="G75" i="31"/>
  <c r="G76" i="31"/>
  <c r="G67" i="31"/>
  <c r="F68" i="31"/>
  <c r="F69" i="31"/>
  <c r="F70" i="31"/>
  <c r="F71" i="31"/>
  <c r="F72" i="31"/>
  <c r="F73" i="31"/>
  <c r="F74" i="31"/>
  <c r="F75" i="31"/>
  <c r="F76" i="31"/>
  <c r="F67" i="31"/>
  <c r="E68" i="31"/>
  <c r="E69" i="31"/>
  <c r="E70" i="31"/>
  <c r="E71" i="31"/>
  <c r="E72" i="31"/>
  <c r="E73" i="31"/>
  <c r="E74" i="31"/>
  <c r="E75" i="31"/>
  <c r="E76" i="31"/>
  <c r="E67" i="31"/>
  <c r="D68" i="31"/>
  <c r="D69" i="31"/>
  <c r="D70" i="31"/>
  <c r="D71" i="31"/>
  <c r="D72" i="31"/>
  <c r="D73" i="31"/>
  <c r="D74" i="31"/>
  <c r="D75" i="31"/>
  <c r="D76" i="31"/>
  <c r="D67" i="31"/>
  <c r="C68" i="31"/>
  <c r="C69" i="31"/>
  <c r="C70" i="31"/>
  <c r="C71" i="31"/>
  <c r="C72" i="31"/>
  <c r="C73" i="31"/>
  <c r="C74" i="31"/>
  <c r="C75" i="31"/>
  <c r="C76" i="31"/>
  <c r="E103" i="31"/>
  <c r="E104" i="31"/>
  <c r="E105" i="31"/>
  <c r="E106" i="31"/>
  <c r="E107" i="31"/>
  <c r="E108" i="31"/>
  <c r="E109" i="31"/>
  <c r="E110" i="31"/>
  <c r="E111" i="31"/>
  <c r="E102" i="31"/>
  <c r="D103" i="31"/>
  <c r="D104" i="31"/>
  <c r="D105" i="31"/>
  <c r="D106" i="31"/>
  <c r="D107" i="31"/>
  <c r="D108" i="31"/>
  <c r="D109" i="31"/>
  <c r="D110" i="31"/>
  <c r="D111" i="31"/>
  <c r="D102" i="31"/>
  <c r="C103" i="31"/>
  <c r="C104" i="31"/>
  <c r="C105" i="31"/>
  <c r="C106" i="31"/>
  <c r="C107" i="31"/>
  <c r="C108" i="31"/>
  <c r="C109" i="31"/>
  <c r="C110" i="31"/>
  <c r="C111" i="31"/>
  <c r="C102" i="31"/>
  <c r="G103" i="31"/>
  <c r="G104" i="31"/>
  <c r="G105" i="31"/>
  <c r="G106" i="31"/>
  <c r="G107" i="31"/>
  <c r="G108" i="31"/>
  <c r="G109" i="31"/>
  <c r="G110" i="31"/>
  <c r="G111" i="31"/>
  <c r="G102" i="31"/>
  <c r="F108" i="31"/>
  <c r="F109" i="31"/>
  <c r="F110" i="31"/>
  <c r="F111" i="31"/>
  <c r="F107" i="31"/>
  <c r="B1" i="31" s="1"/>
  <c r="H103" i="31"/>
  <c r="H104" i="31"/>
  <c r="H105" i="31"/>
  <c r="H106" i="31"/>
  <c r="H107" i="31"/>
  <c r="H108" i="31"/>
  <c r="H109" i="31"/>
  <c r="H110" i="31"/>
  <c r="H111" i="31"/>
  <c r="H79" i="31"/>
  <c r="H78" i="31"/>
  <c r="H61" i="31"/>
  <c r="F79" i="31" s="1"/>
  <c r="H60" i="31"/>
  <c r="H96" i="31"/>
  <c r="D113" i="31" s="1"/>
  <c r="H95" i="31"/>
  <c r="H112" i="31"/>
  <c r="G113" i="31"/>
  <c r="B111" i="31"/>
  <c r="B110" i="31"/>
  <c r="B109" i="31"/>
  <c r="B108" i="31"/>
  <c r="B107" i="31"/>
  <c r="F106" i="31"/>
  <c r="B106" i="31"/>
  <c r="F105" i="31"/>
  <c r="B105" i="31"/>
  <c r="F104" i="31"/>
  <c r="B104" i="31"/>
  <c r="F103" i="31"/>
  <c r="B103" i="31"/>
  <c r="H102" i="31"/>
  <c r="F102" i="31"/>
  <c r="B102" i="31"/>
  <c r="H114" i="32"/>
  <c r="H113" i="32"/>
  <c r="H97" i="32"/>
  <c r="F114" i="32"/>
  <c r="H79" i="32"/>
  <c r="H78" i="32"/>
  <c r="H61" i="32"/>
  <c r="F79" i="32"/>
  <c r="H60" i="32"/>
  <c r="D78" i="32" s="1"/>
  <c r="H104" i="32"/>
  <c r="H105" i="32"/>
  <c r="H106" i="32"/>
  <c r="H107" i="32"/>
  <c r="H108" i="32"/>
  <c r="H110" i="32"/>
  <c r="H111" i="32"/>
  <c r="H112" i="32"/>
  <c r="B105" i="32"/>
  <c r="B106" i="32"/>
  <c r="B107" i="32"/>
  <c r="B108" i="32"/>
  <c r="B109" i="32"/>
  <c r="B110" i="32"/>
  <c r="B111" i="32"/>
  <c r="B112" i="32"/>
  <c r="G104" i="32"/>
  <c r="G105" i="32"/>
  <c r="G106" i="32"/>
  <c r="G107" i="32"/>
  <c r="G103" i="32"/>
  <c r="F104" i="32"/>
  <c r="F105" i="32"/>
  <c r="F106" i="32"/>
  <c r="F107" i="32"/>
  <c r="F103" i="32"/>
  <c r="E104" i="32"/>
  <c r="E105" i="32"/>
  <c r="E106" i="32"/>
  <c r="E107" i="32"/>
  <c r="E103" i="32"/>
  <c r="D104" i="32"/>
  <c r="D105" i="32"/>
  <c r="D106" i="32"/>
  <c r="D107" i="32"/>
  <c r="D103" i="32"/>
  <c r="C104" i="32"/>
  <c r="C105" i="32"/>
  <c r="C106" i="32"/>
  <c r="C107" i="32"/>
  <c r="C103" i="32"/>
  <c r="C114" i="32"/>
  <c r="F68" i="28"/>
  <c r="F69" i="28"/>
  <c r="F70" i="28"/>
  <c r="F71" i="28"/>
  <c r="F72" i="28"/>
  <c r="F73" i="28"/>
  <c r="F74" i="28"/>
  <c r="F75" i="28"/>
  <c r="F76" i="28"/>
  <c r="G67" i="28"/>
  <c r="F67" i="28"/>
  <c r="G131" i="32"/>
  <c r="B104" i="32"/>
  <c r="H103" i="32"/>
  <c r="B103" i="32"/>
  <c r="D79" i="32"/>
  <c r="F78" i="32"/>
  <c r="E78" i="32"/>
  <c r="H77" i="32"/>
  <c r="G77" i="32"/>
  <c r="F77" i="32"/>
  <c r="E77" i="32"/>
  <c r="D77" i="32"/>
  <c r="C77" i="32"/>
  <c r="B76" i="32"/>
  <c r="B75" i="32"/>
  <c r="B74" i="32"/>
  <c r="B73" i="32"/>
  <c r="B72" i="32"/>
  <c r="H71" i="32"/>
  <c r="G71" i="32"/>
  <c r="F71" i="32"/>
  <c r="E71" i="32"/>
  <c r="D71" i="32"/>
  <c r="C71" i="32"/>
  <c r="B71" i="32"/>
  <c r="H70" i="32"/>
  <c r="G70" i="32"/>
  <c r="F70" i="32"/>
  <c r="E70" i="32"/>
  <c r="D70" i="32"/>
  <c r="C70" i="32"/>
  <c r="B70" i="32"/>
  <c r="H69" i="32"/>
  <c r="G69" i="32"/>
  <c r="F69" i="32"/>
  <c r="E69" i="32"/>
  <c r="D69" i="32"/>
  <c r="C69" i="32"/>
  <c r="B69" i="32"/>
  <c r="H68" i="32"/>
  <c r="G68" i="32"/>
  <c r="F68" i="32"/>
  <c r="E68" i="32"/>
  <c r="D68" i="32"/>
  <c r="C68" i="32"/>
  <c r="B68" i="32"/>
  <c r="H67" i="32"/>
  <c r="G67" i="32"/>
  <c r="F67" i="32"/>
  <c r="E67" i="32"/>
  <c r="D67" i="32"/>
  <c r="C67" i="32"/>
  <c r="B67" i="32"/>
  <c r="C10" i="32"/>
  <c r="C9" i="32"/>
  <c r="C8" i="32"/>
  <c r="C7" i="32"/>
  <c r="G79" i="31"/>
  <c r="E79" i="31"/>
  <c r="C79" i="31"/>
  <c r="G78" i="31"/>
  <c r="F78" i="31"/>
  <c r="E78" i="31"/>
  <c r="D78" i="31"/>
  <c r="C78" i="31"/>
  <c r="H77" i="31"/>
  <c r="G77" i="31"/>
  <c r="F77" i="31"/>
  <c r="E77" i="31"/>
  <c r="D77" i="31"/>
  <c r="C77" i="31"/>
  <c r="C10" i="31"/>
  <c r="C9" i="31"/>
  <c r="C8" i="31"/>
  <c r="C7" i="31"/>
  <c r="G79" i="30"/>
  <c r="F79" i="30"/>
  <c r="E79" i="30"/>
  <c r="D79" i="30"/>
  <c r="C79" i="30"/>
  <c r="G78" i="30"/>
  <c r="F78" i="30"/>
  <c r="E78" i="30"/>
  <c r="D78" i="30"/>
  <c r="C78" i="30"/>
  <c r="G77" i="30"/>
  <c r="F77" i="30"/>
  <c r="E77" i="30"/>
  <c r="D77" i="30"/>
  <c r="C77" i="30"/>
  <c r="H76" i="30"/>
  <c r="H75" i="30"/>
  <c r="H74" i="30"/>
  <c r="B74" i="30"/>
  <c r="H73" i="30"/>
  <c r="B73" i="30"/>
  <c r="H72" i="30"/>
  <c r="B72" i="30"/>
  <c r="H71" i="30"/>
  <c r="B71" i="30"/>
  <c r="H70" i="30"/>
  <c r="B70" i="30"/>
  <c r="H69" i="30"/>
  <c r="B69" i="30"/>
  <c r="H68" i="30"/>
  <c r="B68" i="30"/>
  <c r="H67" i="30"/>
  <c r="B67" i="30"/>
  <c r="C11" i="30"/>
  <c r="C8" i="30"/>
  <c r="C7" i="30"/>
  <c r="H79" i="29"/>
  <c r="G79" i="29"/>
  <c r="F79" i="29"/>
  <c r="E79" i="29"/>
  <c r="D79" i="29"/>
  <c r="C79" i="29"/>
  <c r="H78" i="29"/>
  <c r="G78" i="29"/>
  <c r="F78" i="29"/>
  <c r="E78" i="29"/>
  <c r="D78" i="29"/>
  <c r="C78" i="29"/>
  <c r="H77" i="29"/>
  <c r="G77" i="29"/>
  <c r="F77" i="29"/>
  <c r="E77" i="29"/>
  <c r="D77" i="29"/>
  <c r="C77" i="29"/>
  <c r="H76" i="29"/>
  <c r="G76" i="29"/>
  <c r="F76" i="29"/>
  <c r="E76" i="29"/>
  <c r="D76" i="29"/>
  <c r="C76" i="29"/>
  <c r="B76" i="29"/>
  <c r="H75" i="29"/>
  <c r="G75" i="29"/>
  <c r="F75" i="29"/>
  <c r="E75" i="29"/>
  <c r="D75" i="29"/>
  <c r="C75" i="29"/>
  <c r="B75" i="29"/>
  <c r="H74" i="29"/>
  <c r="G74" i="29"/>
  <c r="F74" i="29"/>
  <c r="E74" i="29"/>
  <c r="D74" i="29"/>
  <c r="C74" i="29"/>
  <c r="B74" i="29"/>
  <c r="H73" i="29"/>
  <c r="G73" i="29"/>
  <c r="F73" i="29"/>
  <c r="E73" i="29"/>
  <c r="D73" i="29"/>
  <c r="C73" i="29"/>
  <c r="B73" i="29"/>
  <c r="H72" i="29"/>
  <c r="G72" i="29"/>
  <c r="F72" i="29"/>
  <c r="E72" i="29"/>
  <c r="D72" i="29"/>
  <c r="C72" i="29"/>
  <c r="B72" i="29"/>
  <c r="H71" i="29"/>
  <c r="G71" i="29"/>
  <c r="F71" i="29"/>
  <c r="E71" i="29"/>
  <c r="D71" i="29"/>
  <c r="C71" i="29"/>
  <c r="B71" i="29"/>
  <c r="H70" i="29"/>
  <c r="G70" i="29"/>
  <c r="F70" i="29"/>
  <c r="E70" i="29"/>
  <c r="D70" i="29"/>
  <c r="C70" i="29"/>
  <c r="B70" i="29"/>
  <c r="H69" i="29"/>
  <c r="G69" i="29"/>
  <c r="F69" i="29"/>
  <c r="E69" i="29"/>
  <c r="D69" i="29"/>
  <c r="C69" i="29"/>
  <c r="B69" i="29"/>
  <c r="H68" i="29"/>
  <c r="G68" i="29"/>
  <c r="F68" i="29"/>
  <c r="E68" i="29"/>
  <c r="D68" i="29"/>
  <c r="C68" i="29"/>
  <c r="B68" i="29"/>
  <c r="H67" i="29"/>
  <c r="G67" i="29"/>
  <c r="F67" i="29"/>
  <c r="E67" i="29"/>
  <c r="D67" i="29"/>
  <c r="C67" i="29"/>
  <c r="B67" i="29"/>
  <c r="F40" i="29"/>
  <c r="F39" i="29"/>
  <c r="F38" i="29"/>
  <c r="F37" i="29"/>
  <c r="F36" i="29"/>
  <c r="F35" i="29"/>
  <c r="F34" i="29"/>
  <c r="F33" i="29"/>
  <c r="F32" i="29"/>
  <c r="F31" i="29"/>
  <c r="C11" i="29"/>
  <c r="C9" i="29"/>
  <c r="C7" i="29"/>
  <c r="H79" i="28"/>
  <c r="G79" i="28"/>
  <c r="F79" i="28"/>
  <c r="E79" i="28"/>
  <c r="D79" i="28"/>
  <c r="C79" i="28"/>
  <c r="H78" i="28"/>
  <c r="G78" i="28"/>
  <c r="F78" i="28"/>
  <c r="E78" i="28"/>
  <c r="D78" i="28"/>
  <c r="C78" i="28"/>
  <c r="H77" i="28"/>
  <c r="G77" i="28"/>
  <c r="F77" i="28"/>
  <c r="E77" i="28"/>
  <c r="D77" i="28"/>
  <c r="C77" i="28"/>
  <c r="H76" i="28"/>
  <c r="G76" i="28"/>
  <c r="E76" i="28"/>
  <c r="D76" i="28"/>
  <c r="C76" i="28"/>
  <c r="B76" i="28"/>
  <c r="H75" i="28"/>
  <c r="G75" i="28"/>
  <c r="E75" i="28"/>
  <c r="D75" i="28"/>
  <c r="C75" i="28"/>
  <c r="B75" i="28"/>
  <c r="H74" i="28"/>
  <c r="G74" i="28"/>
  <c r="E74" i="28"/>
  <c r="D74" i="28"/>
  <c r="C74" i="28"/>
  <c r="B74" i="28"/>
  <c r="H73" i="28"/>
  <c r="G73" i="28"/>
  <c r="E73" i="28"/>
  <c r="D73" i="28"/>
  <c r="C73" i="28"/>
  <c r="B73" i="28"/>
  <c r="H72" i="28"/>
  <c r="G72" i="28"/>
  <c r="E72" i="28"/>
  <c r="D72" i="28"/>
  <c r="C72" i="28"/>
  <c r="B72" i="28"/>
  <c r="H71" i="28"/>
  <c r="G71" i="28"/>
  <c r="E71" i="28"/>
  <c r="D71" i="28"/>
  <c r="C71" i="28"/>
  <c r="B71" i="28"/>
  <c r="H70" i="28"/>
  <c r="G70" i="28"/>
  <c r="E70" i="28"/>
  <c r="D70" i="28"/>
  <c r="C70" i="28"/>
  <c r="B70" i="28"/>
  <c r="H69" i="28"/>
  <c r="G69" i="28"/>
  <c r="E69" i="28"/>
  <c r="D69" i="28"/>
  <c r="C69" i="28"/>
  <c r="B69" i="28"/>
  <c r="H68" i="28"/>
  <c r="G68" i="28"/>
  <c r="E68" i="28"/>
  <c r="D68" i="28"/>
  <c r="C68" i="28"/>
  <c r="B68" i="28"/>
  <c r="H67" i="28"/>
  <c r="E67" i="28"/>
  <c r="D67" i="28"/>
  <c r="C67" i="28"/>
  <c r="B67" i="28"/>
  <c r="C11" i="28"/>
  <c r="C9" i="28"/>
  <c r="C8" i="28"/>
  <c r="I207" i="27"/>
  <c r="H79" i="27"/>
  <c r="G79" i="27"/>
  <c r="F79" i="27"/>
  <c r="E79" i="27"/>
  <c r="D79" i="27"/>
  <c r="C79" i="27"/>
  <c r="H78" i="27"/>
  <c r="G78" i="27"/>
  <c r="F78" i="27"/>
  <c r="E78" i="27"/>
  <c r="D78" i="27"/>
  <c r="C78" i="27"/>
  <c r="H77" i="27"/>
  <c r="G77" i="27"/>
  <c r="F77" i="27"/>
  <c r="E77" i="27"/>
  <c r="D77" i="27"/>
  <c r="C77" i="27"/>
  <c r="H76" i="27"/>
  <c r="G76" i="27"/>
  <c r="F76" i="27"/>
  <c r="E76" i="27"/>
  <c r="D76" i="27"/>
  <c r="C76" i="27"/>
  <c r="B76" i="27"/>
  <c r="H75" i="27"/>
  <c r="G75" i="27"/>
  <c r="F75" i="27"/>
  <c r="E75" i="27"/>
  <c r="D75" i="27"/>
  <c r="C75" i="27"/>
  <c r="B75" i="27"/>
  <c r="H74" i="27"/>
  <c r="G74" i="27"/>
  <c r="F74" i="27"/>
  <c r="E74" i="27"/>
  <c r="D74" i="27"/>
  <c r="C74" i="27"/>
  <c r="B74" i="27"/>
  <c r="H73" i="27"/>
  <c r="G73" i="27"/>
  <c r="F73" i="27"/>
  <c r="E73" i="27"/>
  <c r="D73" i="27"/>
  <c r="C73" i="27"/>
  <c r="B73" i="27"/>
  <c r="H72" i="27"/>
  <c r="G72" i="27"/>
  <c r="F72" i="27"/>
  <c r="E72" i="27"/>
  <c r="D72" i="27"/>
  <c r="C72" i="27"/>
  <c r="B72" i="27"/>
  <c r="H71" i="27"/>
  <c r="G71" i="27"/>
  <c r="F71" i="27"/>
  <c r="E71" i="27"/>
  <c r="D71" i="27"/>
  <c r="C71" i="27"/>
  <c r="B71" i="27"/>
  <c r="H70" i="27"/>
  <c r="G70" i="27"/>
  <c r="F70" i="27"/>
  <c r="E70" i="27"/>
  <c r="D70" i="27"/>
  <c r="C70" i="27"/>
  <c r="B70" i="27"/>
  <c r="H69" i="27"/>
  <c r="G69" i="27"/>
  <c r="F69" i="27"/>
  <c r="E69" i="27"/>
  <c r="D69" i="27"/>
  <c r="C69" i="27"/>
  <c r="B69" i="27"/>
  <c r="H68" i="27"/>
  <c r="G68" i="27"/>
  <c r="F68" i="27"/>
  <c r="E68" i="27"/>
  <c r="D68" i="27"/>
  <c r="C68" i="27"/>
  <c r="B68" i="27"/>
  <c r="H67" i="27"/>
  <c r="G67" i="27"/>
  <c r="F67" i="27"/>
  <c r="E67" i="27"/>
  <c r="D67" i="27"/>
  <c r="C67" i="27"/>
  <c r="B67" i="27"/>
  <c r="C11" i="27"/>
  <c r="C9" i="27"/>
  <c r="C8" i="27"/>
  <c r="C7" i="27"/>
  <c r="H89" i="26"/>
  <c r="G89" i="26"/>
  <c r="F89" i="26"/>
  <c r="E89" i="26"/>
  <c r="D89" i="26"/>
  <c r="C89" i="26"/>
  <c r="H88" i="26"/>
  <c r="G88" i="26"/>
  <c r="F88" i="26"/>
  <c r="E88" i="26"/>
  <c r="D88" i="26"/>
  <c r="C88" i="26"/>
  <c r="H87" i="26"/>
  <c r="G87" i="26"/>
  <c r="F87" i="26"/>
  <c r="E87" i="26"/>
  <c r="D87" i="26"/>
  <c r="C87" i="26"/>
  <c r="H86" i="26"/>
  <c r="G86" i="26"/>
  <c r="F86" i="26"/>
  <c r="E86" i="26"/>
  <c r="D86" i="26"/>
  <c r="C86" i="26"/>
  <c r="B86" i="26"/>
  <c r="H85" i="26"/>
  <c r="G85" i="26"/>
  <c r="F85" i="26"/>
  <c r="E85" i="26"/>
  <c r="D85" i="26"/>
  <c r="C85" i="26"/>
  <c r="B85" i="26"/>
  <c r="H84" i="26"/>
  <c r="G84" i="26"/>
  <c r="F84" i="26"/>
  <c r="E84" i="26"/>
  <c r="D84" i="26"/>
  <c r="C84" i="26"/>
  <c r="B84" i="26"/>
  <c r="H83" i="26"/>
  <c r="G83" i="26"/>
  <c r="F83" i="26"/>
  <c r="E83" i="26"/>
  <c r="D83" i="26"/>
  <c r="C83" i="26"/>
  <c r="B83" i="26"/>
  <c r="H82" i="26"/>
  <c r="G82" i="26"/>
  <c r="F82" i="26"/>
  <c r="E82" i="26"/>
  <c r="D82" i="26"/>
  <c r="C82" i="26"/>
  <c r="B82" i="26"/>
  <c r="H81" i="26"/>
  <c r="G81" i="26"/>
  <c r="F81" i="26"/>
  <c r="E81" i="26"/>
  <c r="D81" i="26"/>
  <c r="C81" i="26"/>
  <c r="B81" i="26"/>
  <c r="H80" i="26"/>
  <c r="G80" i="26"/>
  <c r="F80" i="26"/>
  <c r="E80" i="26"/>
  <c r="D80" i="26"/>
  <c r="C80" i="26"/>
  <c r="B80" i="26"/>
  <c r="H79" i="26"/>
  <c r="G79" i="26"/>
  <c r="F79" i="26"/>
  <c r="E79" i="26"/>
  <c r="D79" i="26"/>
  <c r="C79" i="26"/>
  <c r="B79" i="26"/>
  <c r="H78" i="26"/>
  <c r="G78" i="26"/>
  <c r="F78" i="26"/>
  <c r="E78" i="26"/>
  <c r="D78" i="26"/>
  <c r="C78" i="26"/>
  <c r="B78" i="26"/>
  <c r="H77" i="26"/>
  <c r="G77" i="26"/>
  <c r="F77" i="26"/>
  <c r="E77" i="26"/>
  <c r="D77" i="26"/>
  <c r="C77" i="26"/>
  <c r="B77" i="26"/>
  <c r="C11" i="26"/>
  <c r="C9" i="26"/>
  <c r="C8" i="26"/>
  <c r="C7" i="26"/>
  <c r="H79" i="25"/>
  <c r="G79" i="25"/>
  <c r="F79" i="25"/>
  <c r="E79" i="25"/>
  <c r="D79" i="25"/>
  <c r="C79" i="25"/>
  <c r="H78" i="25"/>
  <c r="G78" i="25"/>
  <c r="F78" i="25"/>
  <c r="E78" i="25"/>
  <c r="D78" i="25"/>
  <c r="C78" i="25"/>
  <c r="H77" i="25"/>
  <c r="G77" i="25"/>
  <c r="F77" i="25"/>
  <c r="E77" i="25"/>
  <c r="D77" i="25"/>
  <c r="C77" i="25"/>
  <c r="H76" i="25"/>
  <c r="B76" i="25"/>
  <c r="B75" i="25"/>
  <c r="H74" i="25"/>
  <c r="G74" i="25"/>
  <c r="F74" i="25"/>
  <c r="E74" i="25"/>
  <c r="D74" i="25"/>
  <c r="C74" i="25"/>
  <c r="B74" i="25"/>
  <c r="H73" i="25"/>
  <c r="G73" i="25"/>
  <c r="F73" i="25"/>
  <c r="E73" i="25"/>
  <c r="D73" i="25"/>
  <c r="C73" i="25"/>
  <c r="B73" i="25"/>
  <c r="H72" i="25"/>
  <c r="G72" i="25"/>
  <c r="F72" i="25"/>
  <c r="E72" i="25"/>
  <c r="D72" i="25"/>
  <c r="C72" i="25"/>
  <c r="B72" i="25"/>
  <c r="H71" i="25"/>
  <c r="G71" i="25"/>
  <c r="F71" i="25"/>
  <c r="E71" i="25"/>
  <c r="D71" i="25"/>
  <c r="C71" i="25"/>
  <c r="B71" i="25"/>
  <c r="H70" i="25"/>
  <c r="G70" i="25"/>
  <c r="F70" i="25"/>
  <c r="E70" i="25"/>
  <c r="D70" i="25"/>
  <c r="C70" i="25"/>
  <c r="B70" i="25"/>
  <c r="H69" i="25"/>
  <c r="G69" i="25"/>
  <c r="F69" i="25"/>
  <c r="E69" i="25"/>
  <c r="D69" i="25"/>
  <c r="C69" i="25"/>
  <c r="B69" i="25"/>
  <c r="H68" i="25"/>
  <c r="G68" i="25"/>
  <c r="F68" i="25"/>
  <c r="E68" i="25"/>
  <c r="D68" i="25"/>
  <c r="C68" i="25"/>
  <c r="B68" i="25"/>
  <c r="H67" i="25"/>
  <c r="G67" i="25"/>
  <c r="F67" i="25"/>
  <c r="E67" i="25"/>
  <c r="D67" i="25"/>
  <c r="C67" i="25"/>
  <c r="B67" i="25"/>
  <c r="C9" i="25"/>
  <c r="C8" i="25"/>
  <c r="H79" i="24"/>
  <c r="G79" i="24"/>
  <c r="F79" i="24"/>
  <c r="E79" i="24"/>
  <c r="D79" i="24"/>
  <c r="C79" i="24"/>
  <c r="H78" i="24"/>
  <c r="G78" i="24"/>
  <c r="F78" i="24"/>
  <c r="E78" i="24"/>
  <c r="D78" i="24"/>
  <c r="C78" i="24"/>
  <c r="H77" i="24"/>
  <c r="G77" i="24"/>
  <c r="F77" i="24"/>
  <c r="E77" i="24"/>
  <c r="D77" i="24"/>
  <c r="C77" i="24"/>
  <c r="H76" i="24"/>
  <c r="G76" i="24"/>
  <c r="F76" i="24"/>
  <c r="E76" i="24"/>
  <c r="D76" i="24"/>
  <c r="C76" i="24"/>
  <c r="B76" i="24"/>
  <c r="H75" i="24"/>
  <c r="G75" i="24"/>
  <c r="F75" i="24"/>
  <c r="E75" i="24"/>
  <c r="D75" i="24"/>
  <c r="C75" i="24"/>
  <c r="B75" i="24"/>
  <c r="H74" i="24"/>
  <c r="G74" i="24"/>
  <c r="F74" i="24"/>
  <c r="E74" i="24"/>
  <c r="D74" i="24"/>
  <c r="C74" i="24"/>
  <c r="B74" i="24"/>
  <c r="H73" i="24"/>
  <c r="G73" i="24"/>
  <c r="F73" i="24"/>
  <c r="E73" i="24"/>
  <c r="D73" i="24"/>
  <c r="C73" i="24"/>
  <c r="B73" i="24"/>
  <c r="H72" i="24"/>
  <c r="G72" i="24"/>
  <c r="F72" i="24"/>
  <c r="E72" i="24"/>
  <c r="D72" i="24"/>
  <c r="C72" i="24"/>
  <c r="B72" i="24"/>
  <c r="H71" i="24"/>
  <c r="G71" i="24"/>
  <c r="F71" i="24"/>
  <c r="E71" i="24"/>
  <c r="D71" i="24"/>
  <c r="C71" i="24"/>
  <c r="B71" i="24"/>
  <c r="H70" i="24"/>
  <c r="G70" i="24"/>
  <c r="F70" i="24"/>
  <c r="E70" i="24"/>
  <c r="D70" i="24"/>
  <c r="C70" i="24"/>
  <c r="B70" i="24"/>
  <c r="H69" i="24"/>
  <c r="G69" i="24"/>
  <c r="F69" i="24"/>
  <c r="E69" i="24"/>
  <c r="D69" i="24"/>
  <c r="C69" i="24"/>
  <c r="B69" i="24"/>
  <c r="H68" i="24"/>
  <c r="G68" i="24"/>
  <c r="F68" i="24"/>
  <c r="E68" i="24"/>
  <c r="D68" i="24"/>
  <c r="C68" i="24"/>
  <c r="B68" i="24"/>
  <c r="H67" i="24"/>
  <c r="G67" i="24"/>
  <c r="F67" i="24"/>
  <c r="E67" i="24"/>
  <c r="D67" i="24"/>
  <c r="C67" i="24"/>
  <c r="B67" i="24"/>
  <c r="C11" i="24"/>
  <c r="C8" i="24"/>
  <c r="C7" i="24"/>
  <c r="H79" i="23"/>
  <c r="G79" i="23"/>
  <c r="F79" i="23"/>
  <c r="E79" i="23"/>
  <c r="D79" i="23"/>
  <c r="C79" i="23"/>
  <c r="H78" i="23"/>
  <c r="G78" i="23"/>
  <c r="F78" i="23"/>
  <c r="E78" i="23"/>
  <c r="D78" i="23"/>
  <c r="C78" i="23"/>
  <c r="H77" i="23"/>
  <c r="G77" i="23"/>
  <c r="F77" i="23"/>
  <c r="E77" i="23"/>
  <c r="D77" i="23"/>
  <c r="C77" i="23"/>
  <c r="B76" i="23"/>
  <c r="H75" i="23"/>
  <c r="G75" i="23"/>
  <c r="F75" i="23"/>
  <c r="E75" i="23"/>
  <c r="D75" i="23"/>
  <c r="C75" i="23"/>
  <c r="B75" i="23"/>
  <c r="H74" i="23"/>
  <c r="G74" i="23"/>
  <c r="F74" i="23"/>
  <c r="E74" i="23"/>
  <c r="D74" i="23"/>
  <c r="C74" i="23"/>
  <c r="B74" i="23"/>
  <c r="H73" i="23"/>
  <c r="G73" i="23"/>
  <c r="F73" i="23"/>
  <c r="E73" i="23"/>
  <c r="D73" i="23"/>
  <c r="C73" i="23"/>
  <c r="B73" i="23"/>
  <c r="H72" i="23"/>
  <c r="G72" i="23"/>
  <c r="F72" i="23"/>
  <c r="E72" i="23"/>
  <c r="D72" i="23"/>
  <c r="C72" i="23"/>
  <c r="B72" i="23"/>
  <c r="H71" i="23"/>
  <c r="G71" i="23"/>
  <c r="F71" i="23"/>
  <c r="E71" i="23"/>
  <c r="D71" i="23"/>
  <c r="C71" i="23"/>
  <c r="B71" i="23"/>
  <c r="H70" i="23"/>
  <c r="G70" i="23"/>
  <c r="F70" i="23"/>
  <c r="E70" i="23"/>
  <c r="D70" i="23"/>
  <c r="C70" i="23"/>
  <c r="B70" i="23"/>
  <c r="H69" i="23"/>
  <c r="G69" i="23"/>
  <c r="F69" i="23"/>
  <c r="E69" i="23"/>
  <c r="D69" i="23"/>
  <c r="C69" i="23"/>
  <c r="B69" i="23"/>
  <c r="H68" i="23"/>
  <c r="G68" i="23"/>
  <c r="F68" i="23"/>
  <c r="E68" i="23"/>
  <c r="D68" i="23"/>
  <c r="C68" i="23"/>
  <c r="B68" i="23"/>
  <c r="H67" i="23"/>
  <c r="G67" i="23"/>
  <c r="F67" i="23"/>
  <c r="E67" i="23"/>
  <c r="D67" i="23"/>
  <c r="C67" i="23"/>
  <c r="B67" i="23"/>
  <c r="G42" i="23"/>
  <c r="E42" i="23"/>
  <c r="H42" i="23"/>
  <c r="D25" i="23"/>
  <c r="D24" i="23"/>
  <c r="D23" i="23"/>
  <c r="D22" i="23"/>
  <c r="D21" i="23"/>
  <c r="D20" i="23"/>
  <c r="C11" i="23" s="1"/>
  <c r="D19" i="23"/>
  <c r="C9" i="23" s="1"/>
  <c r="D18" i="23"/>
  <c r="C8" i="23" s="1"/>
  <c r="D17" i="23"/>
  <c r="D16" i="23"/>
  <c r="C7" i="23" s="1"/>
  <c r="H79" i="21"/>
  <c r="G79" i="21"/>
  <c r="F79" i="21"/>
  <c r="E79" i="21"/>
  <c r="D79" i="21"/>
  <c r="C79" i="21"/>
  <c r="H78" i="21"/>
  <c r="G78" i="21"/>
  <c r="F78" i="21"/>
  <c r="E78" i="21"/>
  <c r="D78" i="21"/>
  <c r="C78" i="21"/>
  <c r="H77" i="21"/>
  <c r="G77" i="21"/>
  <c r="F77" i="21"/>
  <c r="E77" i="21"/>
  <c r="D77" i="21"/>
  <c r="C77" i="21"/>
  <c r="H76" i="21"/>
  <c r="G76" i="21"/>
  <c r="F76" i="21"/>
  <c r="E76" i="21"/>
  <c r="D76" i="21"/>
  <c r="C76" i="21"/>
  <c r="B76" i="21"/>
  <c r="H75" i="21"/>
  <c r="G75" i="21"/>
  <c r="F75" i="21"/>
  <c r="E75" i="21"/>
  <c r="D75" i="21"/>
  <c r="C75" i="21"/>
  <c r="B75" i="21"/>
  <c r="H74" i="21"/>
  <c r="G74" i="21"/>
  <c r="F74" i="21"/>
  <c r="E74" i="21"/>
  <c r="D74" i="21"/>
  <c r="C74" i="21"/>
  <c r="B74" i="21"/>
  <c r="H73" i="21"/>
  <c r="G73" i="21"/>
  <c r="F73" i="21"/>
  <c r="E73" i="21"/>
  <c r="D73" i="21"/>
  <c r="C73" i="21"/>
  <c r="B73" i="21"/>
  <c r="H72" i="21"/>
  <c r="G72" i="21"/>
  <c r="F72" i="21"/>
  <c r="E72" i="21"/>
  <c r="D72" i="21"/>
  <c r="C72" i="21"/>
  <c r="B72" i="21"/>
  <c r="H71" i="21"/>
  <c r="G71" i="21"/>
  <c r="F71" i="21"/>
  <c r="E71" i="21"/>
  <c r="D71" i="21"/>
  <c r="C71" i="21"/>
  <c r="B71" i="21"/>
  <c r="H70" i="21"/>
  <c r="G70" i="21"/>
  <c r="F70" i="21"/>
  <c r="E70" i="21"/>
  <c r="D70" i="21"/>
  <c r="C70" i="21"/>
  <c r="B70" i="21"/>
  <c r="H69" i="21"/>
  <c r="G69" i="21"/>
  <c r="F69" i="21"/>
  <c r="E69" i="21"/>
  <c r="D69" i="21"/>
  <c r="C69" i="21"/>
  <c r="B69" i="21"/>
  <c r="H68" i="21"/>
  <c r="G68" i="21"/>
  <c r="F68" i="21"/>
  <c r="E68" i="21"/>
  <c r="D68" i="21"/>
  <c r="C68" i="21"/>
  <c r="B68" i="21"/>
  <c r="H67" i="21"/>
  <c r="G67" i="21"/>
  <c r="F67" i="21"/>
  <c r="E67" i="21"/>
  <c r="D67" i="21"/>
  <c r="C67" i="21"/>
  <c r="B67" i="21"/>
  <c r="C9" i="21"/>
  <c r="C7" i="21"/>
  <c r="C8" i="21"/>
  <c r="H77" i="20"/>
  <c r="G77" i="20"/>
  <c r="F77" i="20"/>
  <c r="E77" i="20"/>
  <c r="D77" i="20"/>
  <c r="C77" i="20"/>
  <c r="B76" i="20"/>
  <c r="B75" i="20"/>
  <c r="B74" i="20"/>
  <c r="B73" i="20"/>
  <c r="B72" i="20"/>
  <c r="B71" i="20"/>
  <c r="B70" i="20"/>
  <c r="B69" i="20"/>
  <c r="B68" i="20"/>
  <c r="B67" i="20"/>
  <c r="C8" i="20"/>
  <c r="C7" i="20"/>
  <c r="C6" i="20"/>
  <c r="C5" i="20"/>
  <c r="F42" i="23"/>
  <c r="H207" i="27"/>
  <c r="H89" i="7"/>
  <c r="G89" i="7"/>
  <c r="F89" i="7"/>
  <c r="E89" i="7"/>
  <c r="D89" i="7"/>
  <c r="C89" i="7"/>
  <c r="H88" i="7"/>
  <c r="G88" i="7"/>
  <c r="F88" i="7"/>
  <c r="E88" i="7"/>
  <c r="D88" i="7"/>
  <c r="C88" i="7"/>
  <c r="H87" i="7"/>
  <c r="G87" i="7"/>
  <c r="F87" i="7"/>
  <c r="E87" i="7"/>
  <c r="D87" i="7"/>
  <c r="C87" i="7"/>
  <c r="H86" i="7"/>
  <c r="G86" i="7"/>
  <c r="F86" i="7"/>
  <c r="E86" i="7"/>
  <c r="D86" i="7"/>
  <c r="C86" i="7"/>
  <c r="B86" i="7"/>
  <c r="H85" i="7"/>
  <c r="G85" i="7"/>
  <c r="F85" i="7"/>
  <c r="E85" i="7"/>
  <c r="D85" i="7"/>
  <c r="C85" i="7"/>
  <c r="B85" i="7"/>
  <c r="H84" i="7"/>
  <c r="G84" i="7"/>
  <c r="F84" i="7"/>
  <c r="E84" i="7"/>
  <c r="D84" i="7"/>
  <c r="C84" i="7"/>
  <c r="B84" i="7"/>
  <c r="H83" i="7"/>
  <c r="G83" i="7"/>
  <c r="F83" i="7"/>
  <c r="E83" i="7"/>
  <c r="D83" i="7"/>
  <c r="C83" i="7"/>
  <c r="B83" i="7"/>
  <c r="H82" i="7"/>
  <c r="G82" i="7"/>
  <c r="F82" i="7"/>
  <c r="E82" i="7"/>
  <c r="D82" i="7"/>
  <c r="C82" i="7"/>
  <c r="B82" i="7"/>
  <c r="H81" i="7"/>
  <c r="G81" i="7"/>
  <c r="F81" i="7"/>
  <c r="E81" i="7"/>
  <c r="D81" i="7"/>
  <c r="C81" i="7"/>
  <c r="B81" i="7"/>
  <c r="H80" i="7"/>
  <c r="G80" i="7"/>
  <c r="F80" i="7"/>
  <c r="E80" i="7"/>
  <c r="D80" i="7"/>
  <c r="C80" i="7"/>
  <c r="B80" i="7"/>
  <c r="H79" i="7"/>
  <c r="G79" i="7"/>
  <c r="F79" i="7"/>
  <c r="E79" i="7"/>
  <c r="D79" i="7"/>
  <c r="C79" i="7"/>
  <c r="B79" i="7"/>
  <c r="H78" i="7"/>
  <c r="G78" i="7"/>
  <c r="F78" i="7"/>
  <c r="E78" i="7"/>
  <c r="D78" i="7"/>
  <c r="C78" i="7"/>
  <c r="B78" i="7"/>
  <c r="H77" i="7"/>
  <c r="G77" i="7"/>
  <c r="F77" i="7"/>
  <c r="E77" i="7"/>
  <c r="D77" i="7"/>
  <c r="C77" i="7"/>
  <c r="B77" i="7"/>
  <c r="F31" i="7"/>
  <c r="D25" i="7"/>
  <c r="D24" i="7"/>
  <c r="D23" i="7"/>
  <c r="D22" i="7"/>
  <c r="D21" i="7"/>
  <c r="D20" i="7"/>
  <c r="C11" i="7"/>
  <c r="D19" i="7"/>
  <c r="C10" i="7"/>
  <c r="D18" i="7"/>
  <c r="C9" i="7" s="1"/>
  <c r="D17" i="7"/>
  <c r="D16" i="7"/>
  <c r="C8" i="7" s="1"/>
  <c r="D15" i="7"/>
  <c r="H90" i="6"/>
  <c r="G90" i="6"/>
  <c r="F90" i="6"/>
  <c r="E90" i="6"/>
  <c r="D90" i="6"/>
  <c r="C90" i="6"/>
  <c r="H89" i="6"/>
  <c r="G89" i="6"/>
  <c r="F89" i="6"/>
  <c r="E89" i="6"/>
  <c r="D89" i="6"/>
  <c r="C89" i="6"/>
  <c r="H88" i="6"/>
  <c r="G88" i="6"/>
  <c r="F88" i="6"/>
  <c r="E88" i="6"/>
  <c r="D88" i="6"/>
  <c r="C88" i="6"/>
  <c r="H87" i="6"/>
  <c r="G87" i="6"/>
  <c r="F87" i="6"/>
  <c r="E87" i="6"/>
  <c r="D87" i="6"/>
  <c r="C87" i="6"/>
  <c r="B87" i="6"/>
  <c r="H86" i="6"/>
  <c r="G86" i="6"/>
  <c r="F86" i="6"/>
  <c r="E86" i="6"/>
  <c r="D86" i="6"/>
  <c r="C86" i="6"/>
  <c r="B86" i="6"/>
  <c r="H85" i="6"/>
  <c r="G85" i="6"/>
  <c r="F85" i="6"/>
  <c r="E85" i="6"/>
  <c r="D85" i="6"/>
  <c r="C85" i="6"/>
  <c r="B85" i="6"/>
  <c r="H84" i="6"/>
  <c r="G84" i="6"/>
  <c r="F84" i="6"/>
  <c r="E84" i="6"/>
  <c r="D84" i="6"/>
  <c r="C84" i="6"/>
  <c r="B84" i="6"/>
  <c r="H83" i="6"/>
  <c r="G83" i="6"/>
  <c r="F83" i="6"/>
  <c r="E83" i="6"/>
  <c r="D83" i="6"/>
  <c r="C83" i="6"/>
  <c r="B83" i="6"/>
  <c r="H82" i="6"/>
  <c r="G82" i="6"/>
  <c r="F82" i="6"/>
  <c r="E82" i="6"/>
  <c r="D82" i="6"/>
  <c r="C82" i="6"/>
  <c r="B82" i="6"/>
  <c r="H81" i="6"/>
  <c r="G81" i="6"/>
  <c r="F81" i="6"/>
  <c r="E81" i="6"/>
  <c r="D81" i="6"/>
  <c r="C81" i="6"/>
  <c r="B81" i="6"/>
  <c r="H80" i="6"/>
  <c r="G80" i="6"/>
  <c r="F80" i="6"/>
  <c r="E80" i="6"/>
  <c r="D80" i="6"/>
  <c r="C80" i="6"/>
  <c r="B80" i="6"/>
  <c r="H79" i="6"/>
  <c r="G79" i="6"/>
  <c r="F79" i="6"/>
  <c r="E79" i="6"/>
  <c r="D79" i="6"/>
  <c r="C79" i="6"/>
  <c r="B79" i="6"/>
  <c r="H78" i="6"/>
  <c r="G78" i="6"/>
  <c r="F78" i="6"/>
  <c r="E78" i="6"/>
  <c r="D78" i="6"/>
  <c r="C78" i="6"/>
  <c r="B78" i="6"/>
  <c r="C11" i="6"/>
  <c r="C10" i="6"/>
  <c r="C9" i="6"/>
  <c r="C8" i="6"/>
  <c r="D15" i="6"/>
  <c r="C148" i="26"/>
  <c r="D148" i="26"/>
  <c r="D128" i="30"/>
  <c r="C128" i="30"/>
  <c r="H41" i="24"/>
  <c r="F41" i="24"/>
  <c r="F41" i="21"/>
  <c r="H41" i="21"/>
  <c r="G128" i="24"/>
  <c r="D112" i="31"/>
  <c r="F122" i="26"/>
  <c r="F112" i="24"/>
  <c r="F113" i="21"/>
  <c r="D122" i="7"/>
  <c r="I238" i="6"/>
  <c r="I207" i="29"/>
  <c r="H206" i="28"/>
  <c r="F123" i="7"/>
  <c r="H123" i="6"/>
  <c r="D79" i="31"/>
  <c r="G79" i="32"/>
  <c r="F113" i="31"/>
  <c r="F112" i="31"/>
  <c r="C113" i="31"/>
  <c r="C113" i="29"/>
  <c r="G113" i="29"/>
  <c r="E123" i="26"/>
  <c r="C112" i="24"/>
  <c r="G112" i="24"/>
  <c r="G113" i="21"/>
  <c r="C122" i="7"/>
  <c r="H207" i="20"/>
  <c r="F128" i="29"/>
  <c r="E79" i="32"/>
  <c r="H113" i="31"/>
  <c r="D112" i="30"/>
  <c r="F112" i="30"/>
  <c r="C113" i="25"/>
  <c r="C112" i="29"/>
  <c r="E113" i="27"/>
  <c r="C123" i="26"/>
  <c r="G123" i="26"/>
  <c r="D113" i="21"/>
  <c r="G122" i="7"/>
  <c r="F42" i="28"/>
  <c r="D123" i="26"/>
  <c r="H122" i="7"/>
  <c r="F41" i="30"/>
  <c r="H41" i="30"/>
  <c r="H236" i="6"/>
  <c r="I236" i="6"/>
  <c r="E112" i="31"/>
  <c r="C112" i="31"/>
  <c r="E112" i="30"/>
  <c r="C112" i="30"/>
  <c r="C113" i="27"/>
  <c r="G113" i="27"/>
  <c r="E122" i="7"/>
  <c r="C123" i="7"/>
  <c r="G123" i="7"/>
  <c r="C124" i="6"/>
  <c r="G124" i="6"/>
  <c r="G112" i="31"/>
  <c r="F113" i="30"/>
  <c r="D113" i="27"/>
  <c r="D122" i="26"/>
  <c r="D123" i="7"/>
  <c r="H123" i="7"/>
  <c r="D124" i="6"/>
  <c r="H124" i="6"/>
  <c r="E41" i="25"/>
  <c r="F41" i="25" s="1"/>
  <c r="G148" i="26"/>
  <c r="H148" i="26" s="1"/>
  <c r="E159" i="6"/>
  <c r="F159" i="6" s="1"/>
  <c r="H31" i="29"/>
  <c r="H39" i="29"/>
  <c r="H38" i="29"/>
  <c r="H35" i="29"/>
  <c r="H41" i="29"/>
  <c r="H40" i="29"/>
  <c r="H33" i="29"/>
  <c r="H36" i="29"/>
  <c r="H34" i="29"/>
  <c r="H32" i="29"/>
  <c r="H37" i="29"/>
  <c r="H33" i="28"/>
  <c r="H40" i="28"/>
  <c r="H35" i="28"/>
  <c r="H38" i="28"/>
  <c r="H34" i="28"/>
  <c r="H36" i="28"/>
  <c r="H39" i="28"/>
  <c r="H37" i="28"/>
  <c r="H31" i="25"/>
  <c r="H40" i="25"/>
  <c r="H39" i="25"/>
  <c r="H33" i="25"/>
  <c r="H37" i="25"/>
  <c r="H36" i="25"/>
  <c r="H32" i="25"/>
  <c r="H34" i="25"/>
  <c r="H41" i="25"/>
  <c r="H35" i="25"/>
  <c r="H38" i="25"/>
  <c r="I195" i="29"/>
  <c r="I197" i="29"/>
  <c r="H197" i="29"/>
  <c r="H198" i="29"/>
  <c r="I198" i="29"/>
  <c r="I199" i="29"/>
  <c r="H199" i="29"/>
  <c r="H200" i="29"/>
  <c r="I200" i="29"/>
  <c r="H51" i="7" l="1"/>
  <c r="F51" i="7"/>
  <c r="H51" i="6"/>
  <c r="F51" i="6"/>
  <c r="H41" i="28"/>
  <c r="F41" i="28"/>
  <c r="E113" i="31"/>
  <c r="H41" i="27"/>
  <c r="I217" i="7"/>
  <c r="F129" i="6"/>
  <c r="I207" i="24"/>
  <c r="D113" i="28"/>
  <c r="H113" i="28"/>
  <c r="F112" i="27"/>
  <c r="D123" i="6"/>
  <c r="H128" i="28"/>
  <c r="F155" i="6"/>
  <c r="F151" i="6"/>
  <c r="F147" i="6"/>
  <c r="F143" i="6"/>
  <c r="F139" i="6"/>
  <c r="F135" i="6"/>
  <c r="F131" i="6"/>
  <c r="F128" i="30"/>
  <c r="F128" i="25"/>
  <c r="H159" i="6"/>
  <c r="E123" i="6"/>
  <c r="H113" i="24"/>
  <c r="C122" i="26"/>
  <c r="G113" i="24"/>
  <c r="G113" i="28"/>
  <c r="E113" i="28"/>
  <c r="C112" i="27"/>
  <c r="G112" i="27"/>
  <c r="G112" i="21"/>
  <c r="I207" i="23"/>
  <c r="H52" i="6"/>
  <c r="F158" i="6"/>
  <c r="F154" i="6"/>
  <c r="F150" i="6"/>
  <c r="F146" i="6"/>
  <c r="F142" i="6"/>
  <c r="F138" i="6"/>
  <c r="F134" i="6"/>
  <c r="F130" i="6"/>
  <c r="G114" i="32"/>
  <c r="I206" i="30"/>
  <c r="C113" i="24"/>
  <c r="G123" i="6"/>
  <c r="H227" i="26"/>
  <c r="D114" i="32"/>
  <c r="C113" i="28"/>
  <c r="D112" i="27"/>
  <c r="E122" i="26"/>
  <c r="D113" i="24"/>
  <c r="H206" i="25"/>
  <c r="F138" i="7"/>
  <c r="F157" i="6"/>
  <c r="F153" i="6"/>
  <c r="F149" i="6"/>
  <c r="F145" i="6"/>
  <c r="F141" i="6"/>
  <c r="F137" i="6"/>
  <c r="F133" i="6"/>
</calcChain>
</file>

<file path=xl/comments1.xml><?xml version="1.0" encoding="utf-8"?>
<comments xmlns="http://schemas.openxmlformats.org/spreadsheetml/2006/main">
  <authors>
    <author>CDU</author>
  </authors>
  <commentList>
    <comment ref="B230" authorId="0" shapeId="0">
      <text>
        <r>
          <rPr>
            <b/>
            <sz val="9"/>
            <color rgb="FF000000"/>
            <rFont val="Tahoma"/>
            <family val="2"/>
          </rPr>
          <t>CDU:</t>
        </r>
        <r>
          <rPr>
            <sz val="9"/>
            <color rgb="FF000000"/>
            <rFont val="Tahoma"/>
            <family val="2"/>
          </rPr>
          <t xml:space="preserve">
</t>
        </r>
        <r>
          <rPr>
            <sz val="9"/>
            <color rgb="FF000000"/>
            <rFont val="Tahoma"/>
            <family val="2"/>
          </rPr>
          <t>Not part of the Religion classification in 2011</t>
        </r>
      </text>
    </comment>
    <comment ref="B231" authorId="0" shapeId="0">
      <text>
        <r>
          <rPr>
            <b/>
            <sz val="9"/>
            <color rgb="FF000000"/>
            <rFont val="Tahoma"/>
            <family val="2"/>
          </rPr>
          <t>CDU:</t>
        </r>
        <r>
          <rPr>
            <sz val="9"/>
            <color rgb="FF000000"/>
            <rFont val="Tahoma"/>
            <family val="2"/>
          </rPr>
          <t xml:space="preserve">
</t>
        </r>
        <r>
          <rPr>
            <sz val="9"/>
            <color rgb="FF000000"/>
            <rFont val="Tahoma"/>
            <family val="2"/>
          </rPr>
          <t>Not comparable with 2011 Religions classification</t>
        </r>
      </text>
    </comment>
    <comment ref="B257" authorId="0" shapeId="0">
      <text>
        <r>
          <rPr>
            <b/>
            <sz val="9"/>
            <color rgb="FF000000"/>
            <rFont val="Tahoma"/>
            <family val="2"/>
          </rPr>
          <t>CDU:</t>
        </r>
        <r>
          <rPr>
            <sz val="9"/>
            <color rgb="FF000000"/>
            <rFont val="Tahoma"/>
            <family val="2"/>
          </rPr>
          <t xml:space="preserve">
</t>
        </r>
        <r>
          <rPr>
            <sz val="9"/>
            <color rgb="FF000000"/>
            <rFont val="Tahoma"/>
            <family val="2"/>
          </rPr>
          <t xml:space="preserve">Not part of the Religions classification in 2011
</t>
        </r>
      </text>
    </comment>
  </commentList>
</comments>
</file>

<file path=xl/sharedStrings.xml><?xml version="1.0" encoding="utf-8"?>
<sst xmlns="http://schemas.openxmlformats.org/spreadsheetml/2006/main" count="6950" uniqueCount="924">
  <si>
    <t>Summary indicators</t>
  </si>
  <si>
    <t>% of population</t>
  </si>
  <si>
    <t>Australian born</t>
  </si>
  <si>
    <t>Birthplace not stated</t>
  </si>
  <si>
    <t>Overseas born - Main English speaking countries</t>
  </si>
  <si>
    <t>Overseas born - NMESC</t>
  </si>
  <si>
    <t>Persons</t>
  </si>
  <si>
    <t>2011 Census</t>
  </si>
  <si>
    <t>% change</t>
  </si>
  <si>
    <t>Population</t>
  </si>
  <si>
    <t>Overseas born</t>
  </si>
  <si>
    <t>Overseas born - Australian citizens</t>
  </si>
  <si>
    <t>Aboriginal and Torres Strait Islanders</t>
  </si>
  <si>
    <t>Language other than English spoken at home</t>
  </si>
  <si>
    <t>Birthplace</t>
  </si>
  <si>
    <t>Males 2016</t>
  </si>
  <si>
    <t>Females 2016</t>
  </si>
  <si>
    <t>Persons 2016</t>
  </si>
  <si>
    <t>% of OSB</t>
  </si>
  <si>
    <t>Persons 2011</t>
  </si>
  <si>
    <t>% Change 2011-2016</t>
  </si>
  <si>
    <t>Total overseas born</t>
  </si>
  <si>
    <t>100%</t>
  </si>
  <si>
    <t>0-14</t>
  </si>
  <si>
    <t>15-24</t>
  </si>
  <si>
    <t>25-44</t>
  </si>
  <si>
    <t>45-64</t>
  </si>
  <si>
    <t>65+</t>
  </si>
  <si>
    <t>Total</t>
  </si>
  <si>
    <t>Australia</t>
  </si>
  <si>
    <t>Mainly English speaking countries</t>
  </si>
  <si>
    <t>Non-main English speaking countries</t>
  </si>
  <si>
    <t>Before 1986</t>
  </si>
  <si>
    <t>1986-1995</t>
  </si>
  <si>
    <t>1996-2005</t>
  </si>
  <si>
    <t>2006-2015</t>
  </si>
  <si>
    <t>Language</t>
  </si>
  <si>
    <t>Males</t>
  </si>
  <si>
    <t>Females</t>
  </si>
  <si>
    <t>% of LOTE speakers</t>
  </si>
  <si>
    <t>% change 2011-2016</t>
  </si>
  <si>
    <t>Other</t>
  </si>
  <si>
    <t>0-14 years</t>
  </si>
  <si>
    <t>15-24 years</t>
  </si>
  <si>
    <t>25-44 years</t>
  </si>
  <si>
    <t>45-64 years</t>
  </si>
  <si>
    <t>65+ years</t>
  </si>
  <si>
    <t>Malayalam</t>
  </si>
  <si>
    <t>Speaks English well/very well</t>
  </si>
  <si>
    <t>Speak English not well/not at all</t>
  </si>
  <si>
    <t>Total including not stated</t>
  </si>
  <si>
    <t>Percent not well/not at all</t>
  </si>
  <si>
    <t>Tagalog</t>
  </si>
  <si>
    <t>Mandarin</t>
  </si>
  <si>
    <t>Filipino</t>
  </si>
  <si>
    <t>Punjabi</t>
  </si>
  <si>
    <t>1 Australia born</t>
  </si>
  <si>
    <t>2 2016 overseas born</t>
  </si>
  <si>
    <t>Not stated</t>
  </si>
  <si>
    <t>One parent OSB/one parent Aust born</t>
  </si>
  <si>
    <t>Both parents born overseas</t>
  </si>
  <si>
    <t>Both parents born in Australia</t>
  </si>
  <si>
    <t xml:space="preserve">Religious Affiliation by Gender, 2011 and 2006 Census </t>
  </si>
  <si>
    <t>Table 4.1.9</t>
  </si>
  <si>
    <t>Religion</t>
  </si>
  <si>
    <t>Change 2011-2016</t>
  </si>
  <si>
    <t>Birthplace Australia</t>
  </si>
  <si>
    <t>Overseas</t>
  </si>
  <si>
    <t>Age 01-14</t>
  </si>
  <si>
    <t>56-64</t>
  </si>
  <si>
    <t>Total responses</t>
  </si>
  <si>
    <t>Other religions</t>
  </si>
  <si>
    <t>Total persons</t>
  </si>
  <si>
    <t>New Zealand</t>
  </si>
  <si>
    <t>United States of America</t>
  </si>
  <si>
    <t>India</t>
  </si>
  <si>
    <t>Philippines</t>
  </si>
  <si>
    <t>Zimbabwe</t>
  </si>
  <si>
    <t>South Africa</t>
  </si>
  <si>
    <t>Germany</t>
  </si>
  <si>
    <t>Sri Lanka</t>
  </si>
  <si>
    <t>Fiji</t>
  </si>
  <si>
    <t>Vietnam</t>
  </si>
  <si>
    <t>Ireland</t>
  </si>
  <si>
    <t>Netherlands</t>
  </si>
  <si>
    <t>Italy</t>
  </si>
  <si>
    <t>Thailand</t>
  </si>
  <si>
    <t>Canada</t>
  </si>
  <si>
    <t>Korea, Republic of (South)</t>
  </si>
  <si>
    <t>Japan</t>
  </si>
  <si>
    <t>Malaysia</t>
  </si>
  <si>
    <t>Indonesia</t>
  </si>
  <si>
    <t>England</t>
  </si>
  <si>
    <t>Taiwan</t>
  </si>
  <si>
    <t>..</t>
  </si>
  <si>
    <t>Australian Indigenous Languages</t>
  </si>
  <si>
    <t>Hindi</t>
  </si>
  <si>
    <t>German</t>
  </si>
  <si>
    <t>Italian</t>
  </si>
  <si>
    <t>Sinhalese</t>
  </si>
  <si>
    <t>Vietnamese</t>
  </si>
  <si>
    <t>Afrikaans</t>
  </si>
  <si>
    <t>Samoan</t>
  </si>
  <si>
    <t>Spanish</t>
  </si>
  <si>
    <t>Cantonese</t>
  </si>
  <si>
    <t>French</t>
  </si>
  <si>
    <t>Urdu</t>
  </si>
  <si>
    <t>Thai</t>
  </si>
  <si>
    <t>Japanese</t>
  </si>
  <si>
    <t>Korean</t>
  </si>
  <si>
    <t>Arabic</t>
  </si>
  <si>
    <t>Dutch</t>
  </si>
  <si>
    <t>Greek</t>
  </si>
  <si>
    <t>Indonesian</t>
  </si>
  <si>
    <t>All speakers of languages other than English</t>
  </si>
  <si>
    <t>English</t>
  </si>
  <si>
    <t>Australian</t>
  </si>
  <si>
    <t>Irish</t>
  </si>
  <si>
    <t>Australian Aboriginal</t>
  </si>
  <si>
    <t>Scottish</t>
  </si>
  <si>
    <t>Indian</t>
  </si>
  <si>
    <t>Chinese</t>
  </si>
  <si>
    <t xml:space="preserve"> </t>
  </si>
  <si>
    <t xml:space="preserve"> 2</t>
  </si>
  <si>
    <t xml:space="preserve"> 3</t>
  </si>
  <si>
    <t>Australia born</t>
  </si>
  <si>
    <t>Greece</t>
  </si>
  <si>
    <t>Other languages</t>
  </si>
  <si>
    <t>Australian Indigenous languages</t>
  </si>
  <si>
    <t>France</t>
  </si>
  <si>
    <t>Papua New Guinea</t>
  </si>
  <si>
    <t>Scotland</t>
  </si>
  <si>
    <t>Eastern Europe, nfd</t>
  </si>
  <si>
    <t>Switzerland</t>
  </si>
  <si>
    <t>Northern Ireland</t>
  </si>
  <si>
    <t>Kiribati</t>
  </si>
  <si>
    <t>Austria</t>
  </si>
  <si>
    <t>Argentina</t>
  </si>
  <si>
    <t>United Kingdom, Channel Islands and Isle of Man, nfd</t>
  </si>
  <si>
    <t>Brazil</t>
  </si>
  <si>
    <t>Nepal</t>
  </si>
  <si>
    <t>China (excludes SARs and Taiwan)</t>
  </si>
  <si>
    <t>New Caledonia</t>
  </si>
  <si>
    <t>Solomon Islands</t>
  </si>
  <si>
    <t>Vanuatu</t>
  </si>
  <si>
    <t>Table 4.9.4b</t>
  </si>
  <si>
    <t>Creole, nfd</t>
  </si>
  <si>
    <t>Fijian</t>
  </si>
  <si>
    <t>Nepali</t>
  </si>
  <si>
    <t>No Religion, so described</t>
  </si>
  <si>
    <t>Catholic</t>
  </si>
  <si>
    <t>Anglican</t>
  </si>
  <si>
    <t>Lutheran</t>
  </si>
  <si>
    <t>Uniting Church</t>
  </si>
  <si>
    <t>Baptist</t>
  </si>
  <si>
    <t>Pentecostal</t>
  </si>
  <si>
    <t>Buddhism</t>
  </si>
  <si>
    <t>Presbyterian and Reformed</t>
  </si>
  <si>
    <t>Hinduism</t>
  </si>
  <si>
    <t>Latter-day Saints</t>
  </si>
  <si>
    <t>Sikhism</t>
  </si>
  <si>
    <t>Islam</t>
  </si>
  <si>
    <t>Other Protestant</t>
  </si>
  <si>
    <t>Seventh-day Adventist</t>
  </si>
  <si>
    <t>Australian Aboriginal Traditional Religions</t>
  </si>
  <si>
    <t>Secular Beliefs</t>
  </si>
  <si>
    <t>Eastern Orthodox</t>
  </si>
  <si>
    <t>Salvation Army</t>
  </si>
  <si>
    <t>Jehovah's Witnesses</t>
  </si>
  <si>
    <t>1037</t>
  </si>
  <si>
    <t>574</t>
  </si>
  <si>
    <t>1038</t>
  </si>
  <si>
    <t>447</t>
  </si>
  <si>
    <t>64</t>
  </si>
  <si>
    <t>2800</t>
  </si>
  <si>
    <t>7873</t>
  </si>
  <si>
    <t>6855</t>
  </si>
  <si>
    <t>2029</t>
  </si>
  <si>
    <t>5186</t>
  </si>
  <si>
    <t>1742</t>
  </si>
  <si>
    <t>1106</t>
  </si>
  <si>
    <t>1973</t>
  </si>
  <si>
    <t>1412</t>
  </si>
  <si>
    <t>421</t>
  </si>
  <si>
    <t>38</t>
  </si>
  <si>
    <t>40</t>
  </si>
  <si>
    <t>50</t>
  </si>
  <si>
    <t>42</t>
  </si>
  <si>
    <t>7</t>
  </si>
  <si>
    <t>Shona</t>
  </si>
  <si>
    <t>Non-verbal, so described</t>
  </si>
  <si>
    <t>Maori (New Zealand)</t>
  </si>
  <si>
    <t>Ndebele</t>
  </si>
  <si>
    <t>Gujarati</t>
  </si>
  <si>
    <t>Portuguese</t>
  </si>
  <si>
    <t>Tok Pisin (Neomelanesian)</t>
  </si>
  <si>
    <t>Pidgin, nfd</t>
  </si>
  <si>
    <t>1626</t>
  </si>
  <si>
    <t>1684</t>
  </si>
  <si>
    <t>80</t>
  </si>
  <si>
    <t>57</t>
  </si>
  <si>
    <t>136</t>
  </si>
  <si>
    <t>1362</t>
  </si>
  <si>
    <t>1516</t>
  </si>
  <si>
    <t>2,880</t>
  </si>
  <si>
    <t>Swiss, so described</t>
  </si>
  <si>
    <t>Czech</t>
  </si>
  <si>
    <t>Auslan</t>
  </si>
  <si>
    <t>Inadequately described</t>
  </si>
  <si>
    <t>47</t>
  </si>
  <si>
    <t>52</t>
  </si>
  <si>
    <t>95</t>
  </si>
  <si>
    <t>Finnish</t>
  </si>
  <si>
    <t>Konkani</t>
  </si>
  <si>
    <t>Gilbertese</t>
  </si>
  <si>
    <t>3994</t>
  </si>
  <si>
    <t>4070</t>
  </si>
  <si>
    <t>8,064</t>
  </si>
  <si>
    <t>677</t>
  </si>
  <si>
    <t>717</t>
  </si>
  <si>
    <t>1,404</t>
  </si>
  <si>
    <t>Min Nan</t>
  </si>
  <si>
    <t>1688</t>
  </si>
  <si>
    <t>1937</t>
  </si>
  <si>
    <t>3,630</t>
  </si>
  <si>
    <t>Kannada</t>
  </si>
  <si>
    <t>2033</t>
  </si>
  <si>
    <t>2093</t>
  </si>
  <si>
    <t>4,124</t>
  </si>
  <si>
    <t>1022</t>
  </si>
  <si>
    <t>1042</t>
  </si>
  <si>
    <t>2,064</t>
  </si>
  <si>
    <t>669</t>
  </si>
  <si>
    <t>690</t>
  </si>
  <si>
    <t>1,363</t>
  </si>
  <si>
    <t>Tetum</t>
  </si>
  <si>
    <t>2138</t>
  </si>
  <si>
    <t>2122</t>
  </si>
  <si>
    <t>4,259</t>
  </si>
  <si>
    <t>1242</t>
  </si>
  <si>
    <t>1296</t>
  </si>
  <si>
    <t>2,543</t>
  </si>
  <si>
    <t>2016 Census</t>
  </si>
  <si>
    <t>Total LOTE speakers</t>
  </si>
  <si>
    <t>Torres Strait Islander</t>
  </si>
  <si>
    <t>Maori</t>
  </si>
  <si>
    <t>Australian South Sea Islander</t>
  </si>
  <si>
    <t>New Zealander</t>
  </si>
  <si>
    <t>Swedish</t>
  </si>
  <si>
    <t>Maltese</t>
  </si>
  <si>
    <t>Welsh</t>
  </si>
  <si>
    <t>67</t>
  </si>
  <si>
    <t>29</t>
  </si>
  <si>
    <t>100</t>
  </si>
  <si>
    <t>189</t>
  </si>
  <si>
    <t>77</t>
  </si>
  <si>
    <t>764</t>
  </si>
  <si>
    <t>510</t>
  </si>
  <si>
    <t>757</t>
  </si>
  <si>
    <t>589</t>
  </si>
  <si>
    <t>195</t>
  </si>
  <si>
    <t>615</t>
  </si>
  <si>
    <t>384</t>
  </si>
  <si>
    <t>801</t>
  </si>
  <si>
    <t>548</t>
  </si>
  <si>
    <t>106</t>
  </si>
  <si>
    <t>1,880</t>
  </si>
  <si>
    <t>1,138</t>
  </si>
  <si>
    <t>1,916</t>
  </si>
  <si>
    <t>1,257</t>
  </si>
  <si>
    <t>314</t>
  </si>
  <si>
    <t>123</t>
  </si>
  <si>
    <t>1304</t>
  </si>
  <si>
    <t>1976</t>
  </si>
  <si>
    <t>1221</t>
  </si>
  <si>
    <t>288</t>
  </si>
  <si>
    <t>2191</t>
  </si>
  <si>
    <t>1218</t>
  </si>
  <si>
    <t>3022</t>
  </si>
  <si>
    <t>2457</t>
  </si>
  <si>
    <t>827</t>
  </si>
  <si>
    <t>2589</t>
  </si>
  <si>
    <t>1810</t>
  </si>
  <si>
    <t>2847</t>
  </si>
  <si>
    <t>1512</t>
  </si>
  <si>
    <t>263</t>
  </si>
  <si>
    <t>242</t>
  </si>
  <si>
    <t>113</t>
  </si>
  <si>
    <t>255</t>
  </si>
  <si>
    <t>475</t>
  </si>
  <si>
    <t>235</t>
  </si>
  <si>
    <t>1077</t>
  </si>
  <si>
    <t>571</t>
  </si>
  <si>
    <t>1141</t>
  </si>
  <si>
    <t>715</t>
  </si>
  <si>
    <t>170</t>
  </si>
  <si>
    <t>* please note the changes from 2011 are largely a result of population lost to West Daly LGA, which was formed in 2014.</t>
  </si>
  <si>
    <t>* created in 2014 from part of Victoria Daly LGA</t>
  </si>
  <si>
    <t>1557</t>
  </si>
  <si>
    <t>1608</t>
  </si>
  <si>
    <t>12132</t>
  </si>
  <si>
    <t>12624</t>
  </si>
  <si>
    <t>3427</t>
  </si>
  <si>
    <t>3227</t>
  </si>
  <si>
    <t>92</t>
  </si>
  <si>
    <t>74</t>
  </si>
  <si>
    <t>1783</t>
  </si>
  <si>
    <t>1891</t>
  </si>
  <si>
    <t>4478</t>
  </si>
  <si>
    <t>4547</t>
  </si>
  <si>
    <t>5067</t>
  </si>
  <si>
    <t>4659</t>
  </si>
  <si>
    <t>3144</t>
  </si>
  <si>
    <t>2890</t>
  </si>
  <si>
    <t>Table 4.9.5</t>
  </si>
  <si>
    <t>Table 4.9.6</t>
  </si>
  <si>
    <t>Table 4.9.7</t>
  </si>
  <si>
    <t>3324</t>
  </si>
  <si>
    <t>3179</t>
  </si>
  <si>
    <t>1229</t>
  </si>
  <si>
    <t>1222</t>
  </si>
  <si>
    <t>1443</t>
  </si>
  <si>
    <t>1370</t>
  </si>
  <si>
    <t>222</t>
  </si>
  <si>
    <t>3157</t>
  </si>
  <si>
    <t>3033</t>
  </si>
  <si>
    <t>Iraq</t>
  </si>
  <si>
    <t>…</t>
  </si>
  <si>
    <t xml:space="preserve">Overseas born: Birthplace by Gender, 2016 and 2011 Census </t>
  </si>
  <si>
    <t xml:space="preserve">Religious Affiliation by Gender, 2016 and 2011 Census </t>
  </si>
  <si>
    <t>Languages other than English Spoken At Home by Gender, 2016 and 2011 Censuses</t>
  </si>
  <si>
    <t>Languages other than English Spoken At Home by Gender, 2016 and 2011 Census</t>
  </si>
  <si>
    <t xml:space="preserve">Religious Affiliation by Gender, 2016 and 2011 Censuses </t>
  </si>
  <si>
    <t>Overseas born: Birthplace by Gender, 2016 and 2011 Censuses</t>
  </si>
  <si>
    <t>6</t>
  </si>
  <si>
    <t>Bosnia and Herzegovina</t>
  </si>
  <si>
    <t>The former Yugoslav Republic of Macedonia</t>
  </si>
  <si>
    <t>10</t>
  </si>
  <si>
    <t>12</t>
  </si>
  <si>
    <t>23</t>
  </si>
  <si>
    <t>Appendix A</t>
  </si>
  <si>
    <t>About this product</t>
  </si>
  <si>
    <t>Appendix B</t>
  </si>
  <si>
    <t>How to use this product</t>
  </si>
  <si>
    <t>Appendix C</t>
  </si>
  <si>
    <t>Notes on the data</t>
  </si>
  <si>
    <t>Appendix D</t>
  </si>
  <si>
    <t>Abbreviations and acronyms</t>
  </si>
  <si>
    <t>Tables</t>
  </si>
  <si>
    <t>Charts</t>
  </si>
  <si>
    <t>Northern Territory, Summary Profile: 2016 Census</t>
  </si>
  <si>
    <t>Local government areas ith highest number of overseas born: Northern Territory, 2016 Census</t>
  </si>
  <si>
    <t>Darwin LGA, Summary Profile: 2016 Census</t>
  </si>
  <si>
    <t>Local government areas ith highest proportion of overseas born: Northern Territory, 2016 Census</t>
  </si>
  <si>
    <t>Litchfield LGA, Summary Profile: 2016 Census</t>
  </si>
  <si>
    <t>Population Pyramids</t>
  </si>
  <si>
    <t>Alice Springs LGA, Summary Profile: 2016 Census</t>
  </si>
  <si>
    <t>Age-gender profiles, all LGAs: Northern Territory, 2016 Census</t>
  </si>
  <si>
    <t>Barkly LGA, Summary Profile: 2016 Census</t>
  </si>
  <si>
    <t>Back to Index</t>
  </si>
  <si>
    <t>Summary Indicators</t>
  </si>
  <si>
    <t>Change 2016-2011</t>
  </si>
  <si>
    <t>Overseas born (a)</t>
  </si>
  <si>
    <t>Overseas born - Non-Main English speaking countries (a)</t>
  </si>
  <si>
    <t>Overseas born - Australian Citizen</t>
  </si>
  <si>
    <t>Aboriginal and/or Torres Strait Islander peoples</t>
  </si>
  <si>
    <t>(a) includes COB 'inadequately described' and 'at sea'</t>
  </si>
  <si>
    <t>Table 3.1.2</t>
  </si>
  <si>
    <t>Timor-Leste</t>
  </si>
  <si>
    <t>Other overseas birthplaces (a)</t>
  </si>
  <si>
    <t>Main English speaking countries</t>
  </si>
  <si>
    <t>Non-main English speaking countries (a)</t>
  </si>
  <si>
    <t>(a) includes COB inadequately described and born at sea</t>
  </si>
  <si>
    <t>Total (a)</t>
  </si>
  <si>
    <t xml:space="preserve"> All overseas born</t>
  </si>
  <si>
    <t>Table 3.1.5</t>
  </si>
  <si>
    <t>Table 3.1.6</t>
  </si>
  <si>
    <t xml:space="preserve">  Speaks English very well/well</t>
  </si>
  <si>
    <t xml:space="preserve">  Speaks English not well/not at all</t>
  </si>
  <si>
    <t xml:space="preserve">  Total (including not stated)</t>
  </si>
  <si>
    <t>Percent not well/not at all)</t>
  </si>
  <si>
    <t>Table 3.1.7</t>
  </si>
  <si>
    <t>% of Total population</t>
  </si>
  <si>
    <t>Table 3.1.8</t>
  </si>
  <si>
    <t>Religious affiliation by gender; 2016 and 2011 Censuses</t>
  </si>
  <si>
    <t>Secular Beliefs (a)</t>
  </si>
  <si>
    <t>Not stated (b)</t>
  </si>
  <si>
    <t>(a) additional classification level in 2016</t>
  </si>
  <si>
    <t>(b) religion was a non compulsory question on the Census</t>
  </si>
  <si>
    <t>Table 3.1.9</t>
  </si>
  <si>
    <t>Age groups</t>
  </si>
  <si>
    <t>Not stated (a)</t>
  </si>
  <si>
    <t>Total Persons</t>
  </si>
  <si>
    <t>(a) religion was a non compulsory question on the Census</t>
  </si>
  <si>
    <t>Northern Territory: 2016 Census</t>
  </si>
  <si>
    <t>Overseas born - Non main English speaking countries (NMESC)</t>
  </si>
  <si>
    <t>Table 3.2.2</t>
  </si>
  <si>
    <t xml:space="preserve">Overseas born: Birthplace by Gender, 2016, 2011 and 2006 Census </t>
  </si>
  <si>
    <t>Males         2016</t>
  </si>
  <si>
    <t>Bangladesh</t>
  </si>
  <si>
    <t>Pakistan</t>
  </si>
  <si>
    <t>Table 3.2.3a</t>
  </si>
  <si>
    <t>Table 3.1.3b</t>
  </si>
  <si>
    <t>2006-2010</t>
  </si>
  <si>
    <t>2010-2015</t>
  </si>
  <si>
    <t xml:space="preserve">Languages other than English Spoken At Home by Gender, 2016, 2011, and 2006 Census </t>
  </si>
  <si>
    <t>Hakka</t>
  </si>
  <si>
    <t>Tamil</t>
  </si>
  <si>
    <t>Bengali</t>
  </si>
  <si>
    <t>Swahili</t>
  </si>
  <si>
    <t>Burmese</t>
  </si>
  <si>
    <t>All other languages</t>
  </si>
  <si>
    <t>Australian Indigenous Languages (total)</t>
  </si>
  <si>
    <t>All speakers of languages other than english</t>
  </si>
  <si>
    <t>Birthplace for either or both parents not stated</t>
  </si>
  <si>
    <t>Age group</t>
  </si>
  <si>
    <t>44950</t>
  </si>
  <si>
    <t>24956</t>
  </si>
  <si>
    <t>8892</t>
  </si>
  <si>
    <t>14550</t>
  </si>
  <si>
    <t>9437</t>
  </si>
  <si>
    <t>28584</t>
  </si>
  <si>
    <t>19159</t>
  </si>
  <si>
    <t>7072</t>
  </si>
  <si>
    <t>Tables generated using TableBuilder</t>
  </si>
  <si>
    <t xml:space="preserve">Overseas born: Birthplace by Gender, 2016 and 2011 Censuses </t>
  </si>
  <si>
    <t xml:space="preserve">Females </t>
  </si>
  <si>
    <t xml:space="preserve">Persons </t>
  </si>
  <si>
    <t>Cambodia</t>
  </si>
  <si>
    <t>Denmark</t>
  </si>
  <si>
    <t xml:space="preserve">Languages other than English Spoken At Home by Gender, 2016 and 2011 Censuses </t>
  </si>
  <si>
    <t>Khmer</t>
  </si>
  <si>
    <t>Danish</t>
  </si>
  <si>
    <t>Other Religions</t>
  </si>
  <si>
    <t>Table 3.4.3a</t>
  </si>
  <si>
    <t>Table 3.4.3b</t>
  </si>
  <si>
    <t>Telugu</t>
  </si>
  <si>
    <t>Chart 3.1</t>
  </si>
  <si>
    <t>Local government areas with highest number of overseas born</t>
  </si>
  <si>
    <t>LGA</t>
  </si>
  <si>
    <t>Number of people born overseas</t>
  </si>
  <si>
    <t>% of LGA</t>
  </si>
  <si>
    <t>Darwin (C)</t>
  </si>
  <si>
    <t>Palmerston (C)</t>
  </si>
  <si>
    <t>Alice Springs (T)</t>
  </si>
  <si>
    <t>Litchfield (M)</t>
  </si>
  <si>
    <t>Katherine (T)</t>
  </si>
  <si>
    <t>Barkly (R)</t>
  </si>
  <si>
    <t>West Arnhem (R)</t>
  </si>
  <si>
    <t>Roper Gulf (R)</t>
  </si>
  <si>
    <t>MacDonnell (R)</t>
  </si>
  <si>
    <t>Coomalie (S)</t>
  </si>
  <si>
    <t>East Arnhem (R)</t>
  </si>
  <si>
    <t>Central Desert (R)</t>
  </si>
  <si>
    <t>Victoria Daly (R)</t>
  </si>
  <si>
    <t>Wagait (S)</t>
  </si>
  <si>
    <t>Tiwi Islands (R)</t>
  </si>
  <si>
    <t>West Daly (R)</t>
  </si>
  <si>
    <t>Belyuen (S)</t>
  </si>
  <si>
    <t>Rank</t>
  </si>
  <si>
    <t>Born overseas</t>
  </si>
  <si>
    <t>Chart 3.2</t>
  </si>
  <si>
    <t>Local government areas with highest proportion of overseas born</t>
  </si>
  <si>
    <t>Chart 3.3</t>
  </si>
  <si>
    <t>Chart 3.3.1: Afghanistan</t>
  </si>
  <si>
    <t>Chart 3.3.2: Canada</t>
  </si>
  <si>
    <t>Chart 3.3.3: China (excludes SARs and Taiwan)</t>
  </si>
  <si>
    <t>Chart 3.3.4: England</t>
  </si>
  <si>
    <t>Distribution within the NT of the population born in Afghanistan</t>
  </si>
  <si>
    <t>Distribution within the NT of the population born in Canada</t>
  </si>
  <si>
    <t>Distribution within the NT of the population born in China</t>
  </si>
  <si>
    <t>Distribution within the NT of the population born in England</t>
  </si>
  <si>
    <t>Chart 3.3.5: Fiji</t>
  </si>
  <si>
    <t>Chart 3.3.6: France</t>
  </si>
  <si>
    <t xml:space="preserve">Chart 3.3.7: </t>
  </si>
  <si>
    <t>Chart 3.3.9: Greece</t>
  </si>
  <si>
    <t>Distribution within the NT of the population born in Fiji</t>
  </si>
  <si>
    <t>Distribution within the NT of the population born in France</t>
  </si>
  <si>
    <t>Distribution within the NT of the population born in Germany</t>
  </si>
  <si>
    <t>Distribution within the NT of the population born in Greece</t>
  </si>
  <si>
    <t>Chart 3.3.9: Hong Kong (SAR of China)</t>
  </si>
  <si>
    <t>Chart 3.3.10: India</t>
  </si>
  <si>
    <t>Chart 3.3.11: Indonesia</t>
  </si>
  <si>
    <t>Chart 3.3.12: Iran</t>
  </si>
  <si>
    <t>Distribution within the NT of the population born in Hong Kong (SAR of China)</t>
  </si>
  <si>
    <t>Distribution within the NT of the population born in India</t>
  </si>
  <si>
    <t>Distribution within the NT of the population born in Indonesia</t>
  </si>
  <si>
    <t>Distribution within the NT of the population born in Iran</t>
  </si>
  <si>
    <t>Chart 3.3.13: Ireland</t>
  </si>
  <si>
    <t>Chart 3.3.14: Italy</t>
  </si>
  <si>
    <t>Chart 3.3.15: Japan</t>
  </si>
  <si>
    <t>Chart 3.3.16: Korea, Republic of (South)</t>
  </si>
  <si>
    <t>Distribution within the NT of the population born in Ireland</t>
  </si>
  <si>
    <t>Distribution within the NT of the population born in Italy</t>
  </si>
  <si>
    <t>Distribution within the NT of the population born in Japan</t>
  </si>
  <si>
    <t>Distribution within the NT of the population born in Korea, Republic of (South)</t>
  </si>
  <si>
    <t>Chart 3.3.17: Malaysia</t>
  </si>
  <si>
    <t>Chart 3.3.18: Myanmar</t>
  </si>
  <si>
    <t>Chart 3.3.19: Nepal</t>
  </si>
  <si>
    <t>Chart 3.3.20: Netherlands</t>
  </si>
  <si>
    <t>Distribution within the NT of the population born in Malaysia</t>
  </si>
  <si>
    <t>Distribution within the NT of the population born in Myanmar</t>
  </si>
  <si>
    <t>Distribution within the NT of the population born in Nepal</t>
  </si>
  <si>
    <t>Distribution within the NT of the population born in Netherlands</t>
  </si>
  <si>
    <t>Chart 3.3.21: New Zealand</t>
  </si>
  <si>
    <t>Chart 3.3.22: Pakistan</t>
  </si>
  <si>
    <t>Chart 3.3.23: Papua New Guinea</t>
  </si>
  <si>
    <t>Chart 3.3.24: Vietnam</t>
  </si>
  <si>
    <t>Distribution within the NT of the population born in New Zealand</t>
  </si>
  <si>
    <t>Distribution within the NT of the population born in Pakistan</t>
  </si>
  <si>
    <t>Distribution within the NT of the population born in Papua New Guinea</t>
  </si>
  <si>
    <t>Distribution within the NT of the population born in Vietnam</t>
  </si>
  <si>
    <t>Chart 3.3.25: Philippines</t>
  </si>
  <si>
    <t>Chart 3.3.26: Scotland</t>
  </si>
  <si>
    <t>Chart 3.3.27: Singapore</t>
  </si>
  <si>
    <t>Chart 3.3.28: South Africa</t>
  </si>
  <si>
    <t>Distribution within the NT of the population born in Philippines</t>
  </si>
  <si>
    <t>Distribution within the NT of the population born in Scotland</t>
  </si>
  <si>
    <t>Distribution within the NT of the population born in Singapore</t>
  </si>
  <si>
    <t>Distribution within the NT of the population born in South Africa</t>
  </si>
  <si>
    <t>Chart 3.3.29: Sri Lanka</t>
  </si>
  <si>
    <t>Chart 3.3.30: Taiwan</t>
  </si>
  <si>
    <t>Chart 3.3.31: Thailand</t>
  </si>
  <si>
    <t>Chart 3.3.32: Timor-Leste</t>
  </si>
  <si>
    <t>Distribution within the NT of the population born in Sri Lanka</t>
  </si>
  <si>
    <t>Distribution within the NT of the population born in Taiwan</t>
  </si>
  <si>
    <t>Distribution within the NT of the population born in Thailand</t>
  </si>
  <si>
    <t>Distribution within the NT of the population born in Timor-Leste</t>
  </si>
  <si>
    <t>Chart 3.3.33: United States of America</t>
  </si>
  <si>
    <t>Chart 3.3.34: Zimbabwe</t>
  </si>
  <si>
    <t>Distribution within the NT of the population born in United States of America</t>
  </si>
  <si>
    <t>Distribution within the NT of the population born in Zimbabwe</t>
  </si>
  <si>
    <t>Pyramid 3.4</t>
  </si>
  <si>
    <t>Age-Gender profles for all Local Government Areas</t>
  </si>
  <si>
    <t>Pyramid 3.3.1 - Alice Springs</t>
  </si>
  <si>
    <t>Pyramid 3.3.2 - Barkly</t>
  </si>
  <si>
    <t>Pyramid 3.3.3 - Belyuen</t>
  </si>
  <si>
    <t>Pyramid 3.3.4 - Central Desert</t>
  </si>
  <si>
    <t>Pyramid 3.3.5 - Coomalie</t>
  </si>
  <si>
    <t>Pyramid 3.3.6 - Darwin City</t>
  </si>
  <si>
    <t>Pyramid 3.3.7 - East Arnhem</t>
  </si>
  <si>
    <t>Pyramid 3.3.8 - Katherine</t>
  </si>
  <si>
    <t>Pyramid 3.3.9 - Litchfield</t>
  </si>
  <si>
    <t>Pyramid 3.3.10 - MacDonald</t>
  </si>
  <si>
    <t>Pyramid 3.3.11 - Palmerston City</t>
  </si>
  <si>
    <t>Pyramid 3.3.12 - Roper Gulf</t>
  </si>
  <si>
    <t>Pyramid 3.3.13 - Tiwi Islands</t>
  </si>
  <si>
    <t>Pyramid 3.3.14 - Victoria Daly</t>
  </si>
  <si>
    <t>Pyramid 3.3.15 - Wagait</t>
  </si>
  <si>
    <t>Pyramid 3.3.16 - West Arnhem</t>
  </si>
  <si>
    <t>Pyramid 3.3.16 - West Daly</t>
  </si>
  <si>
    <t>APPENDIX A: About this product</t>
  </si>
  <si>
    <t>4. Additional tables on the diversity of Aboriginal languages spoken which is a unique feature of the peoples of the Northern Terrtitory.</t>
  </si>
  <si>
    <t>It is hoped the product is well used by government and community organisations to help understand the profile and needs of the different population groups living within the Northern Territory.</t>
  </si>
  <si>
    <t>APPENDIX B: How to use this product</t>
  </si>
  <si>
    <t>The product is provided as 3 separate EXCEL workbooks, covering three broad geographical areas around which the data is arranged.</t>
  </si>
  <si>
    <t>Workbook 2 - provides detailed diversity statistics on the Northern Territory, and summary information about the broader statistical divison of Greater Darwin.</t>
  </si>
  <si>
    <t>Workbook 3 - provides a snapshot of diversity statistics for each Local Government Area.</t>
  </si>
  <si>
    <t>The Workbook profiling the Northern Territory (Workbook 2) contains the most detailed data. It presents a series of tables and graphics including:</t>
  </si>
  <si>
    <t>3. Data on English proficiency by age.</t>
  </si>
  <si>
    <t>APPENDIX C: Notes on the data</t>
  </si>
  <si>
    <t>Geography</t>
  </si>
  <si>
    <t>Comparability of cultural diversity data across time</t>
  </si>
  <si>
    <t xml:space="preserve">The regular review of the Standard Classifications of countries, ethnicities, religions and langauges impacts the comparability of these data across Censuses. In cases where it is not possible to provide comparable 2011 data an entry of "…" was assigned along with a footnote providing more details. The countrs from these categories were incorporated into a "not elsewere classified" category for 2011. </t>
  </si>
  <si>
    <t>The Standard Australian Classification of Countries (SACC), is used in the 2016 Census to code responses to the questions on Country of Birth of Person, Country of Birth of Father and Country of Birth of Mother. The questions asking about the country of birth of a person’s parents were amended in the 2016 Census to request respondents to provide details of the specific country of birth (where it wa not Australia). In previous Censuses, the question had a generic 'overseas' category however consultation with key users of the data during the 2016 Census topic review showed opportunity for a greater understanding of the heritage and ancestries of Australia's population through changes to the questions.</t>
  </si>
  <si>
    <t xml:space="preserve">A minor review was conducted in 2016. Revisions to the names of 4 countries resulted, including the shortening of unnecessarily long names. </t>
  </si>
  <si>
    <t>For more information see the Standard Australian Classification of Countries (SACC), 2016 (cat. no. 1269.0).</t>
  </si>
  <si>
    <t>Language data</t>
  </si>
  <si>
    <t xml:space="preserve">The Australian Standard Classification of Languages (ASCL), 2016 is used in the 2016 Census to code responses to the question 'Does the person speak a language other than English at home?'. </t>
  </si>
  <si>
    <t>A minor review was conducted in 2016 to update the classifications in order to reflect changes to Australia's language profile. As a result three new languages were added. There were also two name changes of existing languages. Pitcairnese was changed to Norf'k-Pitcairn due to the inclusion of Norfolk Island in the Australian Census for the first time and reflecting the terms used on Norfolk Island to refer to this language. Makaton, a sign language, was changed to Key Word Sign Australia, reflecting a change by those who coordinate this language in Australia.</t>
  </si>
  <si>
    <t xml:space="preserve">For more information see the Australian Standard Classification of Languages (ASCL), 2016 (cat. no 1267.0). </t>
  </si>
  <si>
    <t>Religion data</t>
  </si>
  <si>
    <t>The Australian Standard Classification of Religious Groups (ASCRG), 2016 is used in the 2016 Census to code responses to the religion question.</t>
  </si>
  <si>
    <t>A minor review of the classification in 2016 resulted in some changes to the classification structure and a net increase in the number of religions (4 digit groups) from 137 to 151, a decrease in 3 digit level groups from 30 to 28 and an increase in 2 digit groups from 3 to 7. The areas of greatest change are the Pentecostal narrow group (2 digit group 24), the Other Protestant narrow group (2 digit group 28) and Broad group 7, previously named No religion and now named Secular Beliefs and Other Spiritual Beliefs and No Religious Affiliation.</t>
  </si>
  <si>
    <t>For more information see the Australian Standard Classification of Religious Groups (ASCRG), 2016 (cat. no. 1266.0).</t>
  </si>
  <si>
    <t>Ancestry data</t>
  </si>
  <si>
    <t>Responses to the ancestry question in the 2016 were classified using the Australian Standard Classification of Cultural and Ethnic Groups (ASCCEG), 2016.</t>
  </si>
  <si>
    <t>A minor review was conducted in 2016 to maintain the classification's relevance and usability, and to reflect the changes to Australia's cultural and ethnic profile brought about by changing immigration patters. Two new base level cultural and ethnic groups were added: Pitcairn has been introduced due to the inclusion of Norfolk Island in the Australian Census for the first time in 2016, and Yezidi has been added. There were also minor changes to the names of seven 4 digit units. There have been no structural changes in the narrow (2 digit) or broad (1 digit) group level.</t>
  </si>
  <si>
    <t>For more information see the Australian Standard Classification of Cultural and Ethnic Groups (ASCCEG) (cat. no. 1249.0).</t>
  </si>
  <si>
    <t>Respondents to the Census had the opportunity of reporting more than one ancestry but only the first two were coded for the Census data file. Respondents did not have the option of ranking their answers to the ancestry question, so where a respondent reported multiple ancestries, the first two had equal standing. This product uses the 'all ancestries' data item in the provision of statistics on ancestries, therefore the total number of ancestries will not equate with the total population figure.</t>
  </si>
  <si>
    <t>APPENDIX D: Abbreviations and Acronyms</t>
  </si>
  <si>
    <t>ABS</t>
  </si>
  <si>
    <t>Australian Bureau of Statistics</t>
  </si>
  <si>
    <t>ASCCEG</t>
  </si>
  <si>
    <t>Australian Standard Classification of Cultural and Ethnic Groups</t>
  </si>
  <si>
    <t>ASCL</t>
  </si>
  <si>
    <t>Australian Standard Classification of Languages</t>
  </si>
  <si>
    <t>ASCRG</t>
  </si>
  <si>
    <t>Australian Standard Classification of Religious Groups</t>
  </si>
  <si>
    <t>Local Government Areas</t>
  </si>
  <si>
    <t>LOTE</t>
  </si>
  <si>
    <t>Languages Other than English</t>
  </si>
  <si>
    <t>MESC</t>
  </si>
  <si>
    <t>Main English Speaking Countries, including Canada, Ireland, New Zealand, South Africa, United Kingdom, United States of America</t>
  </si>
  <si>
    <t>nec</t>
  </si>
  <si>
    <t>Not elsewhere classified</t>
  </si>
  <si>
    <t>nfd</t>
  </si>
  <si>
    <t>Not further defined</t>
  </si>
  <si>
    <t>NMESC</t>
  </si>
  <si>
    <t xml:space="preserve">All countries other than Canada, Ireland, New Zealand, South Africa, United Kingdom, United States of America </t>
  </si>
  <si>
    <t>OSB</t>
  </si>
  <si>
    <t>SACC</t>
  </si>
  <si>
    <t>Standard Australian Classification of Countries</t>
  </si>
  <si>
    <t>SAR</t>
  </si>
  <si>
    <t>Special Administrative Region</t>
  </si>
  <si>
    <t>SD</t>
  </si>
  <si>
    <t>Statistical Division</t>
  </si>
  <si>
    <t>SSD</t>
  </si>
  <si>
    <t>Statistical Sub-Division</t>
  </si>
  <si>
    <t>694</t>
  </si>
  <si>
    <t>625</t>
  </si>
  <si>
    <t>Belyuen LGA, Summary Profile: 2016 Census</t>
  </si>
  <si>
    <t>Central Desert LGA, Summary Profile: 2016 Census</t>
  </si>
  <si>
    <t>Coomalie LGA, Summary Profile: 2016 Census</t>
  </si>
  <si>
    <t>East Arnhem LGA, Summary Profile: 2016 Census</t>
  </si>
  <si>
    <t>3.10</t>
  </si>
  <si>
    <t>3.11</t>
  </si>
  <si>
    <t>3.12</t>
  </si>
  <si>
    <t>3.13</t>
  </si>
  <si>
    <t>3.14</t>
  </si>
  <si>
    <t>3.15</t>
  </si>
  <si>
    <t>3.16</t>
  </si>
  <si>
    <t>3.17</t>
  </si>
  <si>
    <t>Katherine LGA, Summary Profile: 2016 Census</t>
  </si>
  <si>
    <t>MacDonnell LGA, Summary Profile: 2016 Census</t>
  </si>
  <si>
    <t>PalmerstonLGA, Summary Profile: 2016 Census</t>
  </si>
  <si>
    <t>Roper Gulf LGA, Summary Profile: 2016 Census</t>
  </si>
  <si>
    <t>Tiwi Islands LGA, Summary Profile: 2016 Census</t>
  </si>
  <si>
    <t>Victoria Daly LGA, Summary Profile: 2016 Census</t>
  </si>
  <si>
    <t>Wagait LGA, Summary Profile: 2016 Census</t>
  </si>
  <si>
    <t>West Arnhem LGA, Summary Profile: 2016 Census</t>
  </si>
  <si>
    <t>West Daly LGA, Summary Profile: 2016 Census</t>
  </si>
  <si>
    <t>Overseas born - MESC</t>
  </si>
  <si>
    <t>Table 3.1.1</t>
  </si>
  <si>
    <t>Table 3.1.3a</t>
  </si>
  <si>
    <t>2016</t>
  </si>
  <si>
    <t>2011</t>
  </si>
  <si>
    <t>Table 3.1.4a</t>
  </si>
  <si>
    <t>Table 3.1.4b</t>
  </si>
  <si>
    <t xml:space="preserve">  </t>
  </si>
  <si>
    <t xml:space="preserve">   </t>
  </si>
  <si>
    <t xml:space="preserve">    </t>
  </si>
  <si>
    <t>Back to top</t>
  </si>
  <si>
    <t>Table 3.2.1.</t>
  </si>
  <si>
    <t>Table 3.2.3b</t>
  </si>
  <si>
    <t>Table 3.2.4a</t>
  </si>
  <si>
    <t>Table 3.2.4b</t>
  </si>
  <si>
    <t>Table 3.2.5</t>
  </si>
  <si>
    <t>Table 3.2.6</t>
  </si>
  <si>
    <t>Table 3.2.7</t>
  </si>
  <si>
    <t>Table 3.2.8</t>
  </si>
  <si>
    <t>Table 3.2.9</t>
  </si>
  <si>
    <t>Table 3.3.1.</t>
  </si>
  <si>
    <t>Table 3.3.2</t>
  </si>
  <si>
    <t>Table 3.3.3a</t>
  </si>
  <si>
    <t>Table 3.3.3b</t>
  </si>
  <si>
    <t>Table 3.3.4a</t>
  </si>
  <si>
    <t>Table 3.3.4b</t>
  </si>
  <si>
    <t>Table 3.3.5</t>
  </si>
  <si>
    <t>Table 3.3.6</t>
  </si>
  <si>
    <t>Table 3.3.7</t>
  </si>
  <si>
    <t>Table 3.3.8</t>
  </si>
  <si>
    <t>Table 3.3.9</t>
  </si>
  <si>
    <t>Table 3.4.1.</t>
  </si>
  <si>
    <t>Table 3.4.2</t>
  </si>
  <si>
    <t>Table 3.4.4a</t>
  </si>
  <si>
    <t>Table 3.4.4b</t>
  </si>
  <si>
    <t>Table 3.4.5</t>
  </si>
  <si>
    <t>Table 3.4.6</t>
  </si>
  <si>
    <t>Table 3.4.7</t>
  </si>
  <si>
    <t>Table 3.4.8</t>
  </si>
  <si>
    <t>Table 3.4.9</t>
  </si>
  <si>
    <t>Table 3.5.1.</t>
  </si>
  <si>
    <t>Table 3.5.2</t>
  </si>
  <si>
    <t>Table 3.5.3a</t>
  </si>
  <si>
    <t>Table 3.5.3b</t>
  </si>
  <si>
    <t>Table 3.5.4a</t>
  </si>
  <si>
    <t>Table 3.5.4b</t>
  </si>
  <si>
    <t>Table 3.5.5</t>
  </si>
  <si>
    <t>Table 3.5.6</t>
  </si>
  <si>
    <t>Table 3.5.7</t>
  </si>
  <si>
    <t>Table 3.5.8</t>
  </si>
  <si>
    <t>Table 3.5.9</t>
  </si>
  <si>
    <t>Table 3.6.1.</t>
  </si>
  <si>
    <t>Table 3.6.2</t>
  </si>
  <si>
    <t>Table 3.6.3a</t>
  </si>
  <si>
    <t>Table 3.6.3b</t>
  </si>
  <si>
    <t>Table 3.6.4a</t>
  </si>
  <si>
    <t>Table 3.6.4b</t>
  </si>
  <si>
    <t>Table 3.6.5</t>
  </si>
  <si>
    <t>Table 3.6.6</t>
  </si>
  <si>
    <t>Table 3.6.7</t>
  </si>
  <si>
    <t>Table 3.6.8</t>
  </si>
  <si>
    <t>Table 3.6.9</t>
  </si>
  <si>
    <t>Table 3.7.1</t>
  </si>
  <si>
    <t>Table 3.7.2</t>
  </si>
  <si>
    <t>Table 3.7.3a</t>
  </si>
  <si>
    <t>Table 3.8.1.</t>
  </si>
  <si>
    <t>Table 3.8.2</t>
  </si>
  <si>
    <t>Table 3.8.3a</t>
  </si>
  <si>
    <t>Table 3.8.3b</t>
  </si>
  <si>
    <t>Table 3.8.4a</t>
  </si>
  <si>
    <t>Table 3.8.4b</t>
  </si>
  <si>
    <t>Table 3.8.5</t>
  </si>
  <si>
    <t>Table 3.8.6</t>
  </si>
  <si>
    <t>Table 3.8.7</t>
  </si>
  <si>
    <t>Table 3.8.8</t>
  </si>
  <si>
    <t>Table 3.8.9</t>
  </si>
  <si>
    <t>Table 3.9.1.</t>
  </si>
  <si>
    <t>Table 3.9.2</t>
  </si>
  <si>
    <t>Table 3.9.3a</t>
  </si>
  <si>
    <t>Table 3.9.3b</t>
  </si>
  <si>
    <t>Table 3.9.4a</t>
  </si>
  <si>
    <t>Table 3.9.4b</t>
  </si>
  <si>
    <t>Table 3.9.5</t>
  </si>
  <si>
    <t>Table 3.9.6</t>
  </si>
  <si>
    <t>Table 3.9.7</t>
  </si>
  <si>
    <t>Table 3.9.8</t>
  </si>
  <si>
    <t>Table 3.9.9</t>
  </si>
  <si>
    <t>Table 3.10.1</t>
  </si>
  <si>
    <t>Table 3.10.2</t>
  </si>
  <si>
    <t>Table 3.10.3a</t>
  </si>
  <si>
    <t>Table 3.11.1.</t>
  </si>
  <si>
    <t>Table 3.11.2</t>
  </si>
  <si>
    <t>Table 3.11.3a</t>
  </si>
  <si>
    <t>Table 3.11.3b</t>
  </si>
  <si>
    <t>Table 3.11.4a</t>
  </si>
  <si>
    <t>Table 3.11.8</t>
  </si>
  <si>
    <t>Table 3.11.9</t>
  </si>
  <si>
    <t>Table 3.12.1</t>
  </si>
  <si>
    <t>Table 3.12.2</t>
  </si>
  <si>
    <t>Table 3.13.1.</t>
  </si>
  <si>
    <t>Table 3.13.2</t>
  </si>
  <si>
    <t>Table 3.13.3a</t>
  </si>
  <si>
    <t>Table 3.13.3b</t>
  </si>
  <si>
    <t>Table 3.13.4a</t>
  </si>
  <si>
    <t>Table 3.13.4b</t>
  </si>
  <si>
    <t>Table 3.13.5</t>
  </si>
  <si>
    <t>Table 3.13.6</t>
  </si>
  <si>
    <t>Table 3.13.7</t>
  </si>
  <si>
    <t>Table 3.13.8</t>
  </si>
  <si>
    <t>Table 3.13.9</t>
  </si>
  <si>
    <t xml:space="preserve">     </t>
  </si>
  <si>
    <t>Data assembled in these worksheets are for each Local Government Area (LGA) within the Northern Territory. Some LGAs had low numbers of overseas born residents and associated cultural diversity characteristics. These small numbers impact on the quality and usefulness of the data because of the confidentiality processes applied by the ABS. Data users are cautioned about the appropriateness of using small numbers in their analysis.</t>
  </si>
  <si>
    <t>Generally data are provided for the top 10 cultural diversity characteristics in each LGA. Data are suppressed if small numbers have the potential to identify individuals. See Appendix C for further information.</t>
  </si>
  <si>
    <t>Table 3.12.3a</t>
  </si>
  <si>
    <t>Table 3.12.4a</t>
  </si>
  <si>
    <t>Table 3.12.3b</t>
  </si>
  <si>
    <t>Table 3.12.4b</t>
  </si>
  <si>
    <t>Table 3.12.5</t>
  </si>
  <si>
    <t>Table 3.12.6</t>
  </si>
  <si>
    <t>Table 3.12.7</t>
  </si>
  <si>
    <t>Table 3.12.8</t>
  </si>
  <si>
    <t>Table 3.10.4a</t>
  </si>
  <si>
    <t>Table 3.10.3b</t>
  </si>
  <si>
    <t>Back to index</t>
  </si>
  <si>
    <t>Summary Overview</t>
  </si>
  <si>
    <t>In terms of the bigger picture, overseas born migrants are maintaining the Territory’s population growth and enacting some important and fundamental demographic, labour force and social benefits to the broader community of the Northern Territory.</t>
  </si>
  <si>
    <t>The data assembled about the population living in the Northern Territory at the 2016 Census shows that:</t>
  </si>
  <si>
    <t>- India which has grown by  87%, putting it in the top 5 countries of birth for this first time</t>
  </si>
  <si>
    <t>- Nepal, which is the fastest growing overseas born population (increasing by over 200%)</t>
  </si>
  <si>
    <t>- Greece, which rounds out the top five countries of birth, continuing to grow with a 25% increase in population</t>
  </si>
  <si>
    <t>These are only some of the stories coming from this data bank of statistics from the 2016 Census. It has been made available by the Office of Multicultural Affairs (NT) for further analysis and to support social and economic policy, programs and service delivery.</t>
  </si>
  <si>
    <t>Table 3.14.1.</t>
  </si>
  <si>
    <t>Table 3.14.2</t>
  </si>
  <si>
    <t>Table 3.14.3a</t>
  </si>
  <si>
    <t>Table 3.14.3b</t>
  </si>
  <si>
    <t>Table 3.14.4a</t>
  </si>
  <si>
    <t>Table 3.14.4b</t>
  </si>
  <si>
    <t>Table 3.14.5</t>
  </si>
  <si>
    <t>Table 3.14.6</t>
  </si>
  <si>
    <t>Table 3.14.7</t>
  </si>
  <si>
    <t>Table 3.14.8</t>
  </si>
  <si>
    <t>Table 3.14.9</t>
  </si>
  <si>
    <t>Table 3.15.1.</t>
  </si>
  <si>
    <t>Table 3.15.2</t>
  </si>
  <si>
    <t>Table 3.15.3a</t>
  </si>
  <si>
    <t>Table 3.15.3b</t>
  </si>
  <si>
    <t>Table 3.15.4a</t>
  </si>
  <si>
    <t>Table 3.15.4b</t>
  </si>
  <si>
    <t>Table 3.15.5</t>
  </si>
  <si>
    <t>Table 3.15.6</t>
  </si>
  <si>
    <t>Table 3.15.7</t>
  </si>
  <si>
    <t>Table 3.15.8</t>
  </si>
  <si>
    <t>Table 3.15.9</t>
  </si>
  <si>
    <t>Table 3.16.1.</t>
  </si>
  <si>
    <t>Table 3.16.2</t>
  </si>
  <si>
    <t>Table 3.16.3a</t>
  </si>
  <si>
    <t>Table 3.16.3b</t>
  </si>
  <si>
    <t>Table 3.16.4a</t>
  </si>
  <si>
    <t>Table 3.16.4b</t>
  </si>
  <si>
    <t>Table 3.16.5</t>
  </si>
  <si>
    <t>Table 3.16.6</t>
  </si>
  <si>
    <t>Table 3.16.7</t>
  </si>
  <si>
    <t>Table 3.16.8</t>
  </si>
  <si>
    <t>Table 3.16.9</t>
  </si>
  <si>
    <t>Table 3.17.1.</t>
  </si>
  <si>
    <t>Table 3.17.2</t>
  </si>
  <si>
    <t>Table 3.17.3a</t>
  </si>
  <si>
    <t>Table 3.17.3b</t>
  </si>
  <si>
    <t>Table 3.17.4a</t>
  </si>
  <si>
    <t>Table 3.17.4b</t>
  </si>
  <si>
    <t>Table 3.17.5</t>
  </si>
  <si>
    <t>Table 3.17.6</t>
  </si>
  <si>
    <t>Table 3.17.7</t>
  </si>
  <si>
    <t>Table 3.17.8</t>
  </si>
  <si>
    <t>Table 3.17.9</t>
  </si>
  <si>
    <t>Table 3.18.1.</t>
  </si>
  <si>
    <t>Table 3.18.2</t>
  </si>
  <si>
    <t>Table 3.18.3a</t>
  </si>
  <si>
    <t>Table 3.18.3b</t>
  </si>
  <si>
    <t>Table 3.18.4a</t>
  </si>
  <si>
    <t>Table 3.18.4b</t>
  </si>
  <si>
    <t>Table 3.18.5</t>
  </si>
  <si>
    <t>Table 3.18.6</t>
  </si>
  <si>
    <t>Table 3.18.7</t>
  </si>
  <si>
    <t>Table 3.18.8</t>
  </si>
  <si>
    <t>Table 3.18.9</t>
  </si>
  <si>
    <t>3.1 Northern Territory - Summary profile</t>
  </si>
  <si>
    <t>Language other than English spoken at home by gender, 2016 and 2011 Censuses</t>
  </si>
  <si>
    <t>Total LOTE speakers (a)</t>
  </si>
  <si>
    <t>(a) includes inadequately described and non-verbal</t>
  </si>
  <si>
    <t>All speakers of languages other than English (a)</t>
  </si>
  <si>
    <t>Ancestry (a)</t>
  </si>
  <si>
    <t>© Commonwealth of Australia, 2018. This ABS data is covered by Creative Commons Attribution 2.5 Australia licence.</t>
  </si>
  <si>
    <t xml:space="preserve">English Language Proficiency by Age: Most common Language Groups, 2016 Census </t>
  </si>
  <si>
    <t xml:space="preserve">Ancestry by Birthplace of Parent(s): Most common Ancestry Groups, 2016 Census </t>
  </si>
  <si>
    <t xml:space="preserve">Religion by Birthplace and Age: Most common Religious Groups, 2016 Census </t>
  </si>
  <si>
    <t>English Language proficiency by age group: Most common Language Groups, 2016 Census</t>
  </si>
  <si>
    <t>Ancestry by Birthplace of parents: Most common Ancestry Groups, 2016</t>
  </si>
  <si>
    <t xml:space="preserve">Ancestry by Birthplace of Parent(s): Most common Ancestry Groups, 2011 Census </t>
  </si>
  <si>
    <t xml:space="preserve">Religion by Birthplace and Age: Most common Religious Groups, 2011 Census </t>
  </si>
  <si>
    <t xml:space="preserve">Birthplace by Age: Most common Birthplace Groups, 2016 Census (absolute numbers) </t>
  </si>
  <si>
    <t xml:space="preserve">Birthplace by Age: Most common Birthplace Groups, 2016 Census (percentage) </t>
  </si>
  <si>
    <t>Distribution of Most common Birthplaces by local government areas: Northern Territory, 2016 Census</t>
  </si>
  <si>
    <t>·         For the first time, a country other than England is the main overseas Birthplace of the NT overseas born population. People born in the Philippines made up 13% of those born overseas, followed by England at 12% and then New Zealand (10%). The population born in the Philippines has increased by 65% since the 2011 Census. Other fast growing overseas born populations since the last Census include:</t>
  </si>
  <si>
    <t>·         Like the Australian population, the population of the NT are now most likely to ascribe to no religion, with almost one in three people describing their religion as such. Some of the most significant increases in particular religions since the last Census are for Sikhism (increasing by nearly 160%) and Hinduism (increasing by nearly 120%). This is likely to have been influenced by the large growth of population born in India. Some traditional Christian religions (Anglican, Uniting Church, Lutheran and Baptist) experienced declines in affiliate numbers. The diversity of religions practiced in the Territory reflects the Birthplaces of the population. For example, eighty five percent of Hindu affiliates were born overseas, as were two thirds of the affiliates of Buddhism.</t>
  </si>
  <si>
    <t>·         The age-sex structure of the population delivers rich information about how the population has been shaped and affects the demand for many goods and services. This information has been provided to the databank users as a series of population pyramids. These graphics show that the population of the Northern Territory is younger and more transient than the Australian population as a whole. As well as the skilled migration program, the spread in the 20 – 34 year age groups is likely to be associated with people seeking early development in their careers, and then potentially leaving for opportunities elsewhere. The Indigenous population is younger again, with a higher proportion of children (under 15 years) and lower numbers of people aged over 60. This is due to relatively higher fertility and lower life expectancy. For people born overseas, the shape describes a population that is mostly arriving from around the age of 20, with fewer bringing children or being established for long enough to have children, and fewer in the older age groups from populations with a longer history in the Territory (such as the Chinese and Greek communities). However the profiles differ remarkably for different Birthplaces. For some countries of birth such as Thailand, the Philippines and Indonesia, there are significantly greater numbers of women compared to men, whereas Birthplace countries such as Greece and Italy have larger populations of older men who are likely to have emigrated after the World Wars.</t>
  </si>
  <si>
    <t>Other overseas Birthplaces (a)</t>
  </si>
  <si>
    <t>Birthplace by Age: Most common Birthplace groups, 2016 Census</t>
  </si>
  <si>
    <t>Birthplace by year of arrival: Most common Birthplaces, 2016 Census</t>
  </si>
  <si>
    <t>Not stated Birthplace for either or both parents</t>
  </si>
  <si>
    <t>Religion by Birthplace and age group: Most common religious groups, 2016 Census</t>
  </si>
  <si>
    <t xml:space="preserve">Percentage in age group for each Birthplace - total expressed as a number </t>
  </si>
  <si>
    <t>Birthplace by Year of Arrival: Most common Birthplace Groups, 2016 Census (absolute numbers)</t>
  </si>
  <si>
    <t>Percentage in arrival group for each Birthplace - total expressed as a number and includes 'not stated' category</t>
  </si>
  <si>
    <t>Birthplace by Year of Arrival: Most common Birthplace Groups, 2016 Census (percentage)</t>
  </si>
  <si>
    <t>Not stated Birthplace</t>
  </si>
  <si>
    <t>Not stated - Birthplace for either or both parents not stated</t>
  </si>
  <si>
    <t>Other Birthplaces</t>
  </si>
  <si>
    <t xml:space="preserve">Birthplace by Age: Most common Birthplace Groups, 2016 Census (numbers) </t>
  </si>
  <si>
    <t>Birthplace by Year of Arrival: Most common Birthplace Groups, 2011 Census</t>
  </si>
  <si>
    <t>Birthplace by Year of Arrival: Most common Birthplace Groups, 2016 Census</t>
  </si>
  <si>
    <t>Distribution of Most common Birthplaces by Local Government Areas</t>
  </si>
  <si>
    <t>1. Customised Northern Teritory level tables of ranked Birthplaces, languages, and religions, as well as for the main Statistical Divion of Greater Darwin.</t>
  </si>
  <si>
    <t>3. Age-gender profiles for the most common Birthplaces, lanugages and ancesrtry groups in the Northern Territory, providing a unique picture of how these populations are forming and maturing.</t>
  </si>
  <si>
    <t>Workbook 1 - provides a small number of tables providing comparative data for Australia on Birthplaces, languages, religions and ancestries of the total Australian population. It also includes a State/Territory table on ranked Birthplaces.</t>
  </si>
  <si>
    <t>Cells in these tables have been randomly adjusted to avoid the release of confidential data. No reliance should be placed on small cells.</t>
  </si>
  <si>
    <t>Table 3.7.3b</t>
  </si>
  <si>
    <t>Table 3.7.4a</t>
  </si>
  <si>
    <t>Table 3.7.4b</t>
  </si>
  <si>
    <t>Table 3.7.5</t>
  </si>
  <si>
    <t>Table 3.7.6</t>
  </si>
  <si>
    <t>Table 3.7.7</t>
  </si>
  <si>
    <t>Table 3.7.8</t>
  </si>
  <si>
    <t>Table 3.7.9</t>
  </si>
  <si>
    <r>
      <t>·</t>
    </r>
    <r>
      <rPr>
        <sz val="7"/>
        <color theme="1"/>
        <rFont val="Calibri"/>
        <family val="2"/>
        <scheme val="minor"/>
      </rPr>
      <t xml:space="preserve">         </t>
    </r>
    <r>
      <rPr>
        <sz val="11"/>
        <color theme="1"/>
        <rFont val="Calibri"/>
        <family val="2"/>
        <scheme val="minor"/>
      </rPr>
      <t>The most dominant ancestry of the population living in the Northern Territory is Australian (29%), followed by English (24%) and Australian Aboriginal (16%). Irish and Scottish ancestries round out the top five, reinforcing a pre-dominant mix of British/Irish background in the population.</t>
    </r>
  </si>
  <si>
    <r>
      <t>·</t>
    </r>
    <r>
      <rPr>
        <sz val="7"/>
        <color theme="1"/>
        <rFont val="Calibri"/>
        <family val="2"/>
        <scheme val="minor"/>
      </rPr>
      <t xml:space="preserve">         </t>
    </r>
    <r>
      <rPr>
        <sz val="11"/>
        <color theme="1"/>
        <rFont val="Calibri"/>
        <family val="2"/>
        <scheme val="minor"/>
      </rPr>
      <t>Birthplace also appears to influence some socio-economic characteristics of the overseas born population of the Northern Territory. People born in India were much more likely to have a Bachelor degree or higher (61% of the population aged 15 years or over), followed by Sri Lanka (50%), and Nepal and the United States (49%). This compares with 15% of the Australian born population. The highest participation in the labour force (either working or actively looking for work) was also for the population born in Nepal (90%), followed by Ireland (88%), South Africa (86%) and Taiwan (84%). The Australian born population had a labour force participation rate of 66%. The population group born in the United States had the largest proportion of people earning $2,000 a week or more (25%), closely followed by people born in South Africa, New Zealand and Ireland(24%). For those who were Australian born, it was 12%.</t>
    </r>
  </si>
  <si>
    <t>3.2 Alice Springs LGA</t>
  </si>
  <si>
    <t>Overseas born arrived since last Census (a)</t>
  </si>
  <si>
    <t>Overseas born arrived since last Census, NMESC (a)</t>
  </si>
  <si>
    <t xml:space="preserve">Numbers in age group for each Birthplace - total expressed as a number </t>
  </si>
  <si>
    <t>Total LOTE speakers (b)</t>
  </si>
  <si>
    <t>(b) includes inadequately described and non-verbal</t>
  </si>
  <si>
    <t>Total LOTE Speakers (b)</t>
  </si>
  <si>
    <t>·         The population born in non-main English speaking countries (i.e. countries other than Canada, Ireland, New Zealand, South Africa, the United Kingdom, and the United States of America) made up 67% of the population born overseas, close to the Australian average of 68%. While the overseas born population of the NT as a whole increased by nearly 30%, the Australian born population decreased slightly (-0.3%).</t>
  </si>
  <si>
    <t>·         The most dominant ancestry of the population living in the Northern Territory is Australian (29%), followed by English (24%) and Australian Aboriginal (16%). Irish and Scottish ancestries round out the top five, reinforcing a pre-dominant mix of British/Irish background in the population.The mix of countries making up the top 20 Birthplaces of the NT population is now dominated by the Asian region rather than Europe.</t>
  </si>
  <si>
    <r>
      <rPr>
        <sz val="11"/>
        <color theme="1"/>
        <rFont val="Calibri (Body)_x0000_"/>
      </rPr>
      <t xml:space="preserve">·          </t>
    </r>
    <r>
      <rPr>
        <sz val="11"/>
        <color theme="1"/>
        <rFont val="Calibri"/>
        <family val="2"/>
        <scheme val="minor"/>
      </rPr>
      <t>The Northern Territory continues to have the highest proportion of Aboriginal and Torres Strait Islander peoples, with one in five people identifying as Indigenous. This compares with around 3% nationally. The linguistic diversity of this population shows in the high proportion of the people who speak a language other than English. At nearly one third of the NT population (30%), this is the largest proportion across all States and Territories.</t>
    </r>
  </si>
  <si>
    <t>(c) based on multiple ancestry responses</t>
  </si>
  <si>
    <t>Ancestry (c)</t>
  </si>
  <si>
    <t>Table 3.10.4b</t>
  </si>
  <si>
    <t>3.3 Barkly LGA</t>
  </si>
  <si>
    <t>3.4 Belyuen LGA</t>
  </si>
  <si>
    <t>3.5 Central Desert LGA</t>
  </si>
  <si>
    <t>3.6 Coomalie LGA</t>
  </si>
  <si>
    <t xml:space="preserve">      </t>
  </si>
  <si>
    <t>3.7 Darwin LGA</t>
  </si>
  <si>
    <t>Numbers in arrival group for each Birthplace - total expressed as a number and includes 'not stated' category</t>
  </si>
  <si>
    <t>WORKBOOK 3 - Local Government Area Summaries</t>
  </si>
  <si>
    <t>The people of the Northern Territory, A statistical profile from the 2016 Census</t>
  </si>
  <si>
    <r>
      <rPr>
        <i/>
        <sz val="11"/>
        <color theme="1"/>
        <rFont val="Calibri"/>
        <family val="2"/>
        <scheme val="minor"/>
      </rPr>
      <t>The People of the Northern Territory</t>
    </r>
    <r>
      <rPr>
        <sz val="11"/>
        <color theme="1"/>
        <rFont val="Calibri"/>
        <family val="2"/>
        <scheme val="minor"/>
      </rPr>
      <t xml:space="preserve"> is a major complilation of statistics on birthplace, language, religion and ancestry of the peoples who lived in the Territory at the time of the 2016 Census of Population and Housing. It provides updated information from the previous publication produced from 2011 Census data. This databank provides:</t>
    </r>
  </si>
  <si>
    <t>2. Customised local area tables for each Local Government Area (LGA) in the Northern Territory, along with age profiles of most common birthplace and language groups, and details on ancestry and birthplace of parents. This provides a very complete picture of the diversity of each area.</t>
  </si>
  <si>
    <t>5. Detailed ancestry data by birthplace of parents, providing a clear picture of the extent of migrant communities.</t>
  </si>
  <si>
    <t>6. English language comptetency by age, presenting the differing levels of English proficiency amongst the various language and age groups.</t>
  </si>
  <si>
    <t>7. Detailed information on education attainment, employment profiles and income classifications of populations from most common birthplaces, ancestries, religions and languages.</t>
  </si>
  <si>
    <t>1. A full list of birthplace, language, religion and ancestry data from the 2016 Census with comparisons to 2011 and 2006 where appropriate.</t>
  </si>
  <si>
    <t>2. Special cross-tabulations of language by birthplace; religion by birthplace; and ancestry by birthplace of parents which reveals richer information on the make-up of the ethnic and religious communities in the Territory.</t>
  </si>
  <si>
    <t>4. Age-sex pyramids for main birthplaces, language and ancestry groups.</t>
  </si>
  <si>
    <t xml:space="preserve">Workbook 3 provides a series of profiles containing statitsics on birthplace, language, religion and ancestry for each LGA in the Northern Territory. These profiles can be used to compare local government areas on characteristics such as the spatial patterns of where major birthplace groups have decided to live. Comparisons of these diversity profiles can be made with the summary profile of the Northern Territory. </t>
  </si>
  <si>
    <t>A major advantage of providing the data in EXCEL spreadsheets is that it allows users to compile their own summary statistics and profile particular ethnic and religious groups even further using EXCEL functionality. All data has been locked to ensure inadvertant changes cannot be applied but data can be freely copied and pasted into other EXCEL spreadsheets.</t>
  </si>
  <si>
    <t xml:space="preserve">In the summary tables, charts and profiles for Local Government Areas (LGAs), the geography level used is based on the boundaries that were in place in 2016. Some of these have changed substantially since 2006. When council amalgamations have occurred, amalgamated data has been presented. West Daly LGA was established in 2014 and has no comparative data from previous Censuses. Care should be taken when considerng change over time as differences may reflect this redistribution of population. This particularly impacts the LGA of Victoria Daley where there has been a significant decrease in population from 2011 to 2016. </t>
  </si>
  <si>
    <t>Population living in unincorporated areas in NT are not included in LGA summaries, accounting for around 7,000 people. These areas include the towns of Nhulunbuy, Alyangula and Yulara.</t>
  </si>
  <si>
    <t>Random error and data quality</t>
  </si>
  <si>
    <r>
      <t xml:space="preserve">Data released by the ABS is subject to perturbation to maintain the confidentiality of individuals. The following selected text is taken from the ABS publication 2900.0 - Census of Population and Housing: Understanding the Census and Census Data, Australia , 2016. </t>
    </r>
    <r>
      <rPr>
        <i/>
        <sz val="11"/>
        <color theme="1"/>
        <rFont val="Calibri"/>
        <family val="2"/>
        <scheme val="minor"/>
      </rPr>
      <t>The ABS has developed a technique to adjust counts to maintain confidentiality of information. This technique, known as perturbation, makes small adjustments to all counts - including totals - to prevent any identifiable data about individuals being released. These adjustments result in small introduced random errors and can mean that the rows and columns of a table do not sum to the displayed totals. However, the confidentiality technique is applied in a controlled manner that ensures the information value of the table as a whole is not significantly affected.</t>
    </r>
  </si>
  <si>
    <t>The effect of perturbation is that there are small discrepancies in the totals through the product. Extra care should be taken when cell counts are less than 10 as these numbers may not accurately reflect the actual numbers of people with the associated characteristics. Users should also note that the Census is a point in time snapshot therefore population mobility and additional births and deaths are not reflected in the figures. Census data has not been adjusted for the net undercount of people who were not counted in the Census. ABS advises that the undercount disproportinately impacted the population count of Aboriginal and Torres Strait Islander Australians. For more information users should refer to the Data Quality statement included in the publication 2900.0 - Census of Population and Housing: Understanding the Census and Census Data, Australia, 2016.</t>
  </si>
  <si>
    <t>Birthplace data</t>
  </si>
  <si>
    <r>
      <t xml:space="preserve">For the Censues between 1991 - 2011 </t>
    </r>
    <r>
      <rPr>
        <i/>
        <sz val="11"/>
        <color theme="1"/>
        <rFont val="Calibri"/>
        <family val="2"/>
        <scheme val="minor"/>
      </rPr>
      <t>no religion</t>
    </r>
    <r>
      <rPr>
        <sz val="12"/>
        <color theme="1"/>
        <rFont val="Calibri"/>
        <family val="2"/>
        <scheme val="minor"/>
      </rPr>
      <t xml:space="preserve"> was the last response category in the questions. On the 2016 Census form the </t>
    </r>
    <r>
      <rPr>
        <i/>
        <sz val="11"/>
        <color theme="1"/>
        <rFont val="Calibri"/>
        <family val="2"/>
        <scheme val="minor"/>
      </rPr>
      <t>no religion</t>
    </r>
    <r>
      <rPr>
        <sz val="12"/>
        <color theme="1"/>
        <rFont val="Calibri"/>
        <family val="2"/>
        <scheme val="minor"/>
      </rPr>
      <t xml:space="preserve"> category was placed at the top of the list of responses. The order of response options for all questions are reviewed before each Census. The ABS tries to put the most commonly reported response option at the top in order to make the Census form easier and quicker to complete.</t>
    </r>
  </si>
  <si>
    <t>3.8 East Arnhem LGA</t>
  </si>
  <si>
    <t>3.9 Katherine LGA</t>
  </si>
  <si>
    <t>3.10 Litchfield LGA - Summary Profile</t>
  </si>
  <si>
    <t>3.11 MacDonnell LGA</t>
  </si>
  <si>
    <t>3.12 Palmerston LGA - Summary Profile</t>
  </si>
  <si>
    <t>3.13 Roper Gulf LGA</t>
  </si>
  <si>
    <t>3.14 Tiwi Islands LGA</t>
  </si>
  <si>
    <t>3.15 Victoria Daly LGA*</t>
  </si>
  <si>
    <t>3.16 Wagait LGA</t>
  </si>
  <si>
    <t>3.17 West Arnhem LGA</t>
  </si>
  <si>
    <t>3.18 West Daly LGA*</t>
  </si>
  <si>
    <t>·         Local Government Areas differ in both their multicultural diversity and the significance of their overseas born population towards their population growth since 2011. Many LGAs experienced proportional declines in their Australian born population, and significant increases in their overseas born population (for example Alice Springs, Barkly and the Tiwi Islands). As expected the most populous LGAs had the highest numbers of overseas born people (Darwin - nearly 25,000, Palmerston - nearly nearly 7,000 and Alice Springs - nearly 6,000), however Wagait, Litchfield, Coomalie and Katherine all had more than 10% of their residents born overseas. The LGA of Belyuen had no population born overseas.  All remote LGAs have Australian Aboriginal as the most prevalent ancestry of their population, and this is generally associated with high numbers of people speaking Australian Indigenous languages. Christianity is often the most dominant religion in these LGAs, although the most prevalent denomination differs. Significant numbers of people also practice Australian Traditional Aboriginal Religions in many of the NT LGAs and it is the most common religion practiced in the LGAs of Belyuen (50% of the population) and in Victoria Daly (22% of the population).</t>
  </si>
  <si>
    <t>Summary</t>
  </si>
  <si>
    <t>·         Of all Australia's states and territories, the Northern Territory had the second lowest proportion of population born overseas at 20%, after Tasmania at just 12%. Western Australia had the highest proportion (32% of the population), followed by Victoria (with 28% born overseas). The Northern Territory’s population of overseas born increased by nearly 30% in the five years since the previous Census, and by just over 70% across the previous decade.</t>
  </si>
  <si>
    <t>This product is a databank of information about the people living in the Northern Territory at the time of the 2016 Census. These simple descriptive statistics provide a window into the diversity of the Northern Territory’s overseas born population and its changing character, and along with the indicators of multiculturalism described above, it profiles particular characteristics about their age and sex, when they came and where they live, their education attainment, their participation in the labour force, their jobs, and general information about their income.  How the population looks is shaped by changes in migration policy, work and education opportunities, and how well immigrants feel accepted and welcomed into the community.</t>
  </si>
  <si>
    <t>Multiculturalism has many definitions but it includes where people were born (their birthplace), their background and where they are “from” (their ancestry), what language or languages they speak and what religions they are affiliated with. The Census of Population and Housing delivers data on these aspects of multiculturalism in the Australian population.</t>
  </si>
  <si>
    <t>Statistics in this publication are based on data from the 2016, 2011 and 2006 Censuses of Population and Housing conducted by the Australian Bureau of Statitsics (ABS). They are usual resident counts, i.e. counts of where people usually lived on the night of each Census. Data are provided to fine levels of detail however users should be cautious of the quality and utility of using small numbers because of ABS confidentialisation processes and the shortcomings of Census data collection processes. This particularly impacts interpretation of change over time where the numbers are small. See further information below.</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</si>
</sst>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 #,##0.00_);_(* \(#,##0.00\);_(* &quot;-&quot;??_);_(@_)"/>
    <numFmt numFmtId="165" formatCode="_(* #,##0_);_(* \(#,##0\);_(* &quot;-&quot;??_);_(@_)"/>
    <numFmt numFmtId="166" formatCode="0.0"/>
    <numFmt numFmtId="167" formatCode="_-* #,##0_-;\-* #,##0_-;_-* &quot;-&quot;??_-;_-@_-"/>
    <numFmt numFmtId="168" formatCode="_-* #,##0.0_-;\-* #,##0.0_-;_-* &quot;-&quot;??_-;_-@_-"/>
    <numFmt numFmtId="169" formatCode="#,##0.0"/>
    <numFmt numFmtId="170" formatCode="0.0%"/>
  </numFmts>
  <fonts count="83">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0"/>
      <name val="Calibri"/>
      <family val="2"/>
      <scheme val="minor"/>
    </font>
    <font>
      <sz val="10"/>
      <name val="Arial"/>
      <family val="2"/>
    </font>
    <font>
      <sz val="24"/>
      <color theme="0"/>
      <name val="Arial"/>
      <family val="2"/>
    </font>
    <font>
      <b/>
      <sz val="10"/>
      <color theme="0"/>
      <name val="Arial"/>
      <family val="2"/>
    </font>
    <font>
      <sz val="10"/>
      <name val="Arial"/>
      <family val="2"/>
    </font>
    <font>
      <sz val="10"/>
      <color theme="1"/>
      <name val="Arial"/>
      <family val="2"/>
    </font>
    <font>
      <b/>
      <sz val="18"/>
      <name val="Arial"/>
      <family val="2"/>
    </font>
    <font>
      <sz val="9"/>
      <name val="ArialMT"/>
    </font>
    <font>
      <b/>
      <sz val="12"/>
      <name val="Arial"/>
      <family val="2"/>
    </font>
    <font>
      <sz val="10"/>
      <color theme="1"/>
      <name val="Arial"/>
      <family val="2"/>
    </font>
    <font>
      <b/>
      <sz val="10"/>
      <name val="Arial"/>
      <family val="2"/>
    </font>
    <font>
      <sz val="9"/>
      <color theme="1"/>
      <name val="ArialMT"/>
    </font>
    <font>
      <b/>
      <sz val="10"/>
      <color theme="1"/>
      <name val="Arial"/>
      <family val="2"/>
    </font>
    <font>
      <i/>
      <sz val="10"/>
      <color theme="1"/>
      <name val="Arial"/>
      <family val="2"/>
    </font>
    <font>
      <sz val="10"/>
      <color theme="0"/>
      <name val="Arial"/>
      <family val="2"/>
    </font>
    <font>
      <sz val="12"/>
      <color theme="1"/>
      <name val="Calibri"/>
      <family val="2"/>
      <scheme val="minor"/>
    </font>
    <font>
      <sz val="12"/>
      <name val="Arial"/>
      <family val="2"/>
    </font>
    <font>
      <b/>
      <sz val="24"/>
      <color theme="0"/>
      <name val="Arial"/>
      <family val="2"/>
    </font>
    <font>
      <sz val="8"/>
      <name val="Arial"/>
      <family val="2"/>
    </font>
    <font>
      <sz val="12"/>
      <color theme="0"/>
      <name val="Arial"/>
      <family val="2"/>
    </font>
    <font>
      <sz val="9"/>
      <color theme="1"/>
      <name val="Arial"/>
      <family val="2"/>
    </font>
    <font>
      <sz val="12"/>
      <color theme="1"/>
      <name val="Arial"/>
      <family val="2"/>
    </font>
    <font>
      <sz val="10"/>
      <color theme="1"/>
      <name val="Calibri"/>
      <family val="2"/>
      <scheme val="minor"/>
    </font>
    <font>
      <sz val="10"/>
      <name val="ArialMT"/>
    </font>
    <font>
      <b/>
      <sz val="12"/>
      <color theme="1"/>
      <name val="Calibri"/>
      <family val="2"/>
      <scheme val="minor"/>
    </font>
    <font>
      <sz val="9"/>
      <name val="Arial"/>
      <family val="2"/>
    </font>
    <font>
      <sz val="10"/>
      <color theme="1"/>
      <name val="ArialMT"/>
    </font>
    <font>
      <b/>
      <sz val="12"/>
      <color theme="0"/>
      <name val="Calibri"/>
      <family val="2"/>
      <scheme val="minor"/>
    </font>
    <font>
      <sz val="11"/>
      <color theme="1"/>
      <name val="Calibri"/>
      <family val="2"/>
      <scheme val="minor"/>
    </font>
    <font>
      <b/>
      <sz val="16"/>
      <color theme="1"/>
      <name val="Calibri"/>
      <family val="2"/>
      <scheme val="minor"/>
    </font>
    <font>
      <u/>
      <sz val="11"/>
      <color theme="10"/>
      <name val="Calibri"/>
      <family val="2"/>
      <scheme val="minor"/>
    </font>
    <font>
      <b/>
      <sz val="11"/>
      <color theme="1"/>
      <name val="Calibri"/>
      <family val="2"/>
      <scheme val="minor"/>
    </font>
    <font>
      <b/>
      <sz val="14"/>
      <color theme="1"/>
      <name val="Calibri"/>
      <family val="2"/>
      <scheme val="minor"/>
    </font>
    <font>
      <sz val="11"/>
      <color theme="0"/>
      <name val="Calibri"/>
      <family val="2"/>
      <scheme val="minor"/>
    </font>
    <font>
      <sz val="11"/>
      <color rgb="FFC00000"/>
      <name val="Calibri"/>
      <family val="2"/>
      <scheme val="minor"/>
    </font>
    <font>
      <sz val="11"/>
      <name val="Calibri"/>
      <family val="2"/>
      <scheme val="minor"/>
    </font>
    <font>
      <sz val="8"/>
      <color theme="1"/>
      <name val="Calibri"/>
      <family val="2"/>
      <scheme val="minor"/>
    </font>
    <font>
      <sz val="11"/>
      <color theme="1"/>
      <name val="Arial"/>
      <family val="2"/>
    </font>
    <font>
      <b/>
      <sz val="11"/>
      <name val="Calibri"/>
      <family val="2"/>
      <scheme val="minor"/>
    </font>
    <font>
      <i/>
      <sz val="11"/>
      <color theme="1"/>
      <name val="Calibri"/>
      <family val="2"/>
      <scheme val="minor"/>
    </font>
    <font>
      <i/>
      <sz val="10"/>
      <name val="Arial"/>
      <family val="2"/>
    </font>
    <font>
      <i/>
      <sz val="11"/>
      <name val="Calibri"/>
      <family val="2"/>
      <scheme val="minor"/>
    </font>
    <font>
      <i/>
      <sz val="11"/>
      <color rgb="FFC00000"/>
      <name val="Calibri"/>
      <family val="2"/>
      <scheme val="minor"/>
    </font>
    <font>
      <sz val="10"/>
      <color rgb="FFC00000"/>
      <name val="Arial"/>
      <family val="2"/>
    </font>
    <font>
      <i/>
      <sz val="12"/>
      <color theme="1"/>
      <name val="Calibri"/>
      <family val="2"/>
      <scheme val="minor"/>
    </font>
    <font>
      <b/>
      <sz val="11"/>
      <color theme="0"/>
      <name val="Calibri"/>
      <family val="2"/>
      <scheme val="minor"/>
    </font>
    <font>
      <u/>
      <sz val="8"/>
      <color theme="10"/>
      <name val="Arial"/>
      <family val="2"/>
    </font>
    <font>
      <i/>
      <sz val="10"/>
      <color rgb="FFC00000"/>
      <name val="Arial"/>
      <family val="2"/>
    </font>
    <font>
      <b/>
      <sz val="10"/>
      <color rgb="FFC00000"/>
      <name val="Arial"/>
      <family val="2"/>
    </font>
    <font>
      <b/>
      <i/>
      <sz val="10"/>
      <color rgb="FFC00000"/>
      <name val="Arial"/>
      <family val="2"/>
    </font>
    <font>
      <sz val="11"/>
      <color theme="0"/>
      <name val="Arial"/>
      <family val="2"/>
    </font>
    <font>
      <sz val="8"/>
      <color rgb="FF000000"/>
      <name val="Arial"/>
      <family val="2"/>
    </font>
    <font>
      <sz val="10"/>
      <color rgb="FF000000"/>
      <name val="Arial"/>
      <family val="2"/>
    </font>
    <font>
      <sz val="11"/>
      <color theme="1"/>
      <name val="Times New Roman"/>
      <family val="2"/>
    </font>
    <font>
      <sz val="8"/>
      <color theme="1"/>
      <name val="Times New Roman"/>
      <family val="2"/>
    </font>
    <font>
      <b/>
      <sz val="14"/>
      <color theme="0"/>
      <name val="Calibri"/>
      <family val="2"/>
      <scheme val="minor"/>
    </font>
    <font>
      <sz val="24"/>
      <name val="Arial"/>
      <family val="2"/>
    </font>
    <font>
      <u/>
      <sz val="12"/>
      <color theme="10"/>
      <name val="Calibri"/>
      <family val="2"/>
      <scheme val="minor"/>
    </font>
    <font>
      <b/>
      <sz val="11"/>
      <color theme="1"/>
      <name val="Arial"/>
      <family val="2"/>
    </font>
    <font>
      <b/>
      <sz val="14"/>
      <color theme="1"/>
      <name val="Arial"/>
      <family val="2"/>
    </font>
    <font>
      <sz val="11"/>
      <color rgb="FFC00000"/>
      <name val="Arial"/>
      <family val="2"/>
    </font>
    <font>
      <sz val="11"/>
      <name val="Arial"/>
      <family val="2"/>
    </font>
    <font>
      <sz val="8"/>
      <color theme="1"/>
      <name val="Arial"/>
      <family val="2"/>
    </font>
    <font>
      <b/>
      <sz val="11"/>
      <name val="Arial"/>
      <family val="2"/>
    </font>
    <font>
      <i/>
      <sz val="11"/>
      <color theme="1"/>
      <name val="Arial"/>
      <family val="2"/>
    </font>
    <font>
      <i/>
      <sz val="11"/>
      <name val="Arial"/>
      <family val="2"/>
    </font>
    <font>
      <i/>
      <sz val="11"/>
      <color rgb="FFC00000"/>
      <name val="Arial"/>
      <family val="2"/>
    </font>
    <font>
      <b/>
      <sz val="18"/>
      <color theme="1"/>
      <name val="Arial"/>
      <family val="2"/>
    </font>
    <font>
      <b/>
      <sz val="11"/>
      <color theme="0"/>
      <name val="Arial"/>
      <family val="2"/>
    </font>
    <font>
      <u/>
      <sz val="10"/>
      <color indexed="12"/>
      <name val="Arial"/>
      <family val="2"/>
    </font>
    <font>
      <sz val="7"/>
      <color theme="1"/>
      <name val="Calibri"/>
      <family val="2"/>
      <scheme val="minor"/>
    </font>
    <font>
      <sz val="11"/>
      <color theme="1"/>
      <name val="Calibri (Body)_x0000_"/>
    </font>
    <font>
      <b/>
      <sz val="9"/>
      <color rgb="FF000000"/>
      <name val="Tahoma"/>
      <family val="2"/>
    </font>
    <font>
      <sz val="9"/>
      <color rgb="FF000000"/>
      <name val="Tahoma"/>
      <family val="2"/>
    </font>
    <font>
      <sz val="12"/>
      <color theme="1"/>
      <name val="Calibri"/>
      <scheme val="minor"/>
    </font>
  </fonts>
  <fills count="17">
    <fill>
      <patternFill patternType="none"/>
    </fill>
    <fill>
      <patternFill patternType="gray125"/>
    </fill>
    <fill>
      <patternFill patternType="solid">
        <fgColor theme="1"/>
        <bgColor indexed="64"/>
      </patternFill>
    </fill>
    <fill>
      <patternFill patternType="solid">
        <fgColor theme="0" tint="-0.34998626667073579"/>
        <bgColor indexed="64"/>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0" tint="-0.249977111117893"/>
        <bgColor theme="0" tint="-0.14999847407452621"/>
      </patternFill>
    </fill>
    <fill>
      <patternFill patternType="solid">
        <fgColor theme="0" tint="-0.249977111117893"/>
        <bgColor indexed="64"/>
      </patternFill>
    </fill>
    <fill>
      <patternFill patternType="solid">
        <fgColor indexed="44"/>
        <bgColor indexed="64"/>
      </patternFill>
    </fill>
    <fill>
      <patternFill patternType="solid">
        <fgColor theme="0"/>
        <bgColor theme="0" tint="-0.14999847407452621"/>
      </patternFill>
    </fill>
    <fill>
      <patternFill patternType="solid">
        <fgColor theme="0"/>
        <bgColor indexed="64"/>
      </patternFill>
    </fill>
    <fill>
      <patternFill patternType="solid">
        <fgColor indexed="43"/>
        <bgColor indexed="64"/>
      </patternFill>
    </fill>
    <fill>
      <patternFill patternType="solid">
        <fgColor rgb="FFD9D9D9"/>
        <bgColor rgb="FFD9D9D9"/>
      </patternFill>
    </fill>
    <fill>
      <patternFill patternType="solid">
        <fgColor rgb="FFFFFF00"/>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8" tint="0.79998168889431442"/>
        <bgColor theme="8" tint="0.79998168889431442"/>
      </patternFill>
    </fill>
  </fills>
  <borders count="112">
    <border>
      <left/>
      <right/>
      <top/>
      <bottom/>
      <diagonal/>
    </border>
    <border>
      <left/>
      <right/>
      <top style="thin">
        <color theme="1"/>
      </top>
      <bottom style="thin">
        <color theme="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indexed="64"/>
      </right>
      <top/>
      <bottom/>
      <diagonal/>
    </border>
    <border>
      <left/>
      <right style="thin">
        <color theme="0"/>
      </right>
      <top style="thin">
        <color theme="0"/>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style="thin">
        <color indexed="64"/>
      </right>
      <top style="thin">
        <color indexed="64"/>
      </top>
      <bottom/>
      <diagonal/>
    </border>
    <border>
      <left style="thin">
        <color indexed="64"/>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theme="1"/>
      </top>
      <bottom/>
      <diagonal/>
    </border>
    <border>
      <left/>
      <right style="thin">
        <color theme="0"/>
      </right>
      <top style="thin">
        <color theme="0"/>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right style="thin">
        <color theme="0"/>
      </right>
      <top/>
      <bottom/>
      <diagonal/>
    </border>
    <border>
      <left/>
      <right style="thin">
        <color theme="0"/>
      </right>
      <top/>
      <bottom style="thin">
        <color indexed="64"/>
      </bottom>
      <diagonal/>
    </border>
    <border>
      <left style="thin">
        <color theme="0"/>
      </left>
      <right/>
      <top/>
      <bottom/>
      <diagonal/>
    </border>
    <border>
      <left/>
      <right/>
      <top style="thin">
        <color theme="1"/>
      </top>
      <bottom style="thin">
        <color indexed="64"/>
      </bottom>
      <diagonal/>
    </border>
    <border>
      <left style="thin">
        <color indexed="64"/>
      </left>
      <right/>
      <top/>
      <bottom style="thin">
        <color theme="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bottom>
      <diagonal/>
    </border>
    <border>
      <left/>
      <right style="thin">
        <color theme="0" tint="-0.34998626667073579"/>
      </right>
      <top style="thin">
        <color indexed="64"/>
      </top>
      <bottom style="thin">
        <color theme="0"/>
      </bottom>
      <diagonal/>
    </border>
    <border>
      <left style="thin">
        <color theme="0" tint="-0.34998626667073579"/>
      </left>
      <right/>
      <top style="thin">
        <color theme="1"/>
      </top>
      <bottom style="thin">
        <color theme="0"/>
      </bottom>
      <diagonal/>
    </border>
    <border>
      <left/>
      <right/>
      <top style="thin">
        <color theme="1"/>
      </top>
      <bottom style="thin">
        <color theme="0"/>
      </bottom>
      <diagonal/>
    </border>
    <border>
      <left/>
      <right style="thin">
        <color theme="0" tint="-0.34998626667073579"/>
      </right>
      <top style="thin">
        <color theme="1"/>
      </top>
      <bottom style="thin">
        <color theme="0"/>
      </bottom>
      <diagonal/>
    </border>
    <border>
      <left/>
      <right style="thin">
        <color theme="1"/>
      </right>
      <top style="thin">
        <color theme="1"/>
      </top>
      <bottom style="thin">
        <color theme="0"/>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style="thin">
        <color theme="9"/>
      </left>
      <right/>
      <top style="thin">
        <color theme="9"/>
      </top>
      <bottom style="thin">
        <color theme="1"/>
      </bottom>
      <diagonal/>
    </border>
    <border>
      <left/>
      <right/>
      <top style="thin">
        <color theme="9"/>
      </top>
      <bottom style="thin">
        <color theme="1"/>
      </bottom>
      <diagonal/>
    </border>
    <border>
      <left/>
      <right style="thin">
        <color theme="9"/>
      </right>
      <top style="thin">
        <color theme="9"/>
      </top>
      <bottom/>
      <diagonal/>
    </border>
    <border>
      <left style="thin">
        <color theme="9"/>
      </left>
      <right/>
      <top/>
      <bottom/>
      <diagonal/>
    </border>
    <border>
      <left style="thin">
        <color indexed="64"/>
      </left>
      <right style="thin">
        <color theme="9"/>
      </right>
      <top style="thin">
        <color indexed="64"/>
      </top>
      <bottom/>
      <diagonal/>
    </border>
    <border>
      <left style="thin">
        <color indexed="64"/>
      </left>
      <right style="thin">
        <color theme="9"/>
      </right>
      <top/>
      <bottom/>
      <diagonal/>
    </border>
    <border>
      <left style="thin">
        <color theme="9"/>
      </left>
      <right/>
      <top style="thin">
        <color indexed="64"/>
      </top>
      <bottom/>
      <diagonal/>
    </border>
    <border>
      <left style="thin">
        <color theme="9"/>
      </left>
      <right/>
      <top/>
      <bottom style="thin">
        <color theme="9"/>
      </bottom>
      <diagonal/>
    </border>
    <border>
      <left/>
      <right/>
      <top/>
      <bottom style="thin">
        <color theme="9"/>
      </bottom>
      <diagonal/>
    </border>
    <border>
      <left style="thin">
        <color indexed="64"/>
      </left>
      <right style="thin">
        <color theme="9"/>
      </right>
      <top/>
      <bottom style="thin">
        <color theme="9"/>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theme="1"/>
      </left>
      <right/>
      <top style="thin">
        <color indexed="64"/>
      </top>
      <bottom/>
      <diagonal/>
    </border>
    <border>
      <left style="thin">
        <color indexed="64"/>
      </left>
      <right style="thin">
        <color theme="1"/>
      </right>
      <top/>
      <bottom style="thin">
        <color theme="1"/>
      </bottom>
      <diagonal/>
    </border>
    <border>
      <left style="thin">
        <color theme="0"/>
      </left>
      <right/>
      <top style="thin">
        <color theme="1"/>
      </top>
      <bottom style="thin">
        <color theme="0"/>
      </bottom>
      <diagonal/>
    </border>
    <border>
      <left/>
      <right style="thin">
        <color theme="0"/>
      </right>
      <top style="thin">
        <color theme="1"/>
      </top>
      <bottom style="thin">
        <color theme="0"/>
      </bottom>
      <diagonal/>
    </border>
    <border>
      <left style="thin">
        <color theme="1"/>
      </left>
      <right/>
      <top/>
      <bottom style="thin">
        <color indexed="64"/>
      </bottom>
      <diagonal/>
    </border>
    <border>
      <left style="thin">
        <color indexed="64"/>
      </left>
      <right style="thin">
        <color theme="1"/>
      </right>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theme="0" tint="-0.34998626667073579"/>
      </bottom>
      <diagonal/>
    </border>
    <border>
      <left style="thin">
        <color indexed="64"/>
      </left>
      <right/>
      <top style="thin">
        <color indexed="64"/>
      </top>
      <bottom style="thin">
        <color theme="0" tint="-0.34998626667073579"/>
      </bottom>
      <diagonal/>
    </border>
    <border>
      <left style="thin">
        <color theme="1"/>
      </left>
      <right style="thin">
        <color theme="0" tint="-0.34998626667073579"/>
      </right>
      <top style="thin">
        <color theme="1"/>
      </top>
      <bottom style="thin">
        <color theme="0" tint="-0.34998626667073579"/>
      </bottom>
      <diagonal/>
    </border>
    <border>
      <left/>
      <right/>
      <top/>
      <bottom style="thin">
        <color theme="0"/>
      </bottom>
      <diagonal/>
    </border>
    <border>
      <left style="thin">
        <color indexed="64"/>
      </left>
      <right style="thin">
        <color theme="0" tint="-0.34998626667073579"/>
      </right>
      <top style="thin">
        <color indexed="64"/>
      </top>
      <bottom/>
      <diagonal/>
    </border>
    <border>
      <left/>
      <right style="thin">
        <color theme="1"/>
      </right>
      <top style="thin">
        <color theme="1"/>
      </top>
      <bottom style="thin">
        <color theme="1"/>
      </bottom>
      <diagonal/>
    </border>
    <border>
      <left/>
      <right style="thin">
        <color theme="1"/>
      </right>
      <top style="thin">
        <color indexed="64"/>
      </top>
      <bottom/>
      <diagonal/>
    </border>
    <border>
      <left/>
      <right/>
      <top style="thin">
        <color theme="0"/>
      </top>
      <bottom style="thin">
        <color theme="0"/>
      </bottom>
      <diagonal/>
    </border>
    <border>
      <left style="thin">
        <color theme="0"/>
      </left>
      <right/>
      <top/>
      <bottom style="thin">
        <color theme="0"/>
      </bottom>
      <diagonal/>
    </border>
    <border>
      <left/>
      <right style="thin">
        <color theme="1"/>
      </right>
      <top/>
      <bottom style="thin">
        <color theme="0"/>
      </bottom>
      <diagonal/>
    </border>
    <border>
      <left style="thin">
        <color theme="0"/>
      </left>
      <right/>
      <top style="thin">
        <color theme="0" tint="-0.34998626667073579"/>
      </top>
      <bottom/>
      <diagonal/>
    </border>
    <border>
      <left style="thin">
        <color indexed="64"/>
      </left>
      <right/>
      <top style="thin">
        <color theme="1"/>
      </top>
      <bottom style="thin">
        <color theme="1"/>
      </bottom>
      <diagonal/>
    </border>
    <border>
      <left/>
      <right style="thin">
        <color theme="0"/>
      </right>
      <top style="thin">
        <color theme="1"/>
      </top>
      <bottom/>
      <diagonal/>
    </border>
    <border>
      <left style="thin">
        <color theme="1"/>
      </left>
      <right style="thin">
        <color theme="0" tint="-0.34998626667073579"/>
      </right>
      <top style="thin">
        <color theme="0" tint="-0.34998626667073579"/>
      </top>
      <bottom style="thin">
        <color theme="0" tint="-0.34998626667073579"/>
      </bottom>
      <diagonal/>
    </border>
    <border>
      <left style="thin">
        <color theme="0"/>
      </left>
      <right/>
      <top style="thin">
        <color theme="1"/>
      </top>
      <bottom/>
      <diagonal/>
    </border>
    <border>
      <left/>
      <right style="thin">
        <color theme="1"/>
      </right>
      <top/>
      <bottom style="thin">
        <color indexed="64"/>
      </bottom>
      <diagonal/>
    </border>
    <border>
      <left style="thin">
        <color theme="1"/>
      </left>
      <right style="thin">
        <color theme="0" tint="-0.34998626667073579"/>
      </right>
      <top style="thin">
        <color theme="1"/>
      </top>
      <bottom style="thin">
        <color theme="1"/>
      </bottom>
      <diagonal/>
    </border>
    <border>
      <left style="thin">
        <color theme="1"/>
      </left>
      <right style="thin">
        <color theme="0" tint="-0.34998626667073579"/>
      </right>
      <top/>
      <bottom style="thin">
        <color theme="1"/>
      </bottom>
      <diagonal/>
    </border>
    <border>
      <left/>
      <right/>
      <top style="thin">
        <color theme="8" tint="0.39997558519241921"/>
      </top>
      <bottom style="thin">
        <color indexed="64"/>
      </bottom>
      <diagonal/>
    </border>
    <border>
      <left style="thin">
        <color indexed="64"/>
      </left>
      <right/>
      <top style="thin">
        <color indexed="64"/>
      </top>
      <bottom style="thin">
        <color theme="8" tint="0.39997558519241921"/>
      </bottom>
      <diagonal/>
    </border>
    <border>
      <left/>
      <right/>
      <top style="thin">
        <color indexed="64"/>
      </top>
      <bottom style="thin">
        <color theme="8" tint="0.39997558519241921"/>
      </bottom>
      <diagonal/>
    </border>
    <border>
      <left style="thin">
        <color indexed="64"/>
      </left>
      <right/>
      <top style="thin">
        <color theme="8" tint="0.39997558519241921"/>
      </top>
      <bottom style="thin">
        <color theme="8" tint="0.39997558519241921"/>
      </bottom>
      <diagonal/>
    </border>
    <border>
      <left/>
      <right/>
      <top style="thin">
        <color theme="8" tint="0.39997558519241921"/>
      </top>
      <bottom style="thin">
        <color theme="8" tint="0.39997558519241921"/>
      </bottom>
      <diagonal/>
    </border>
    <border>
      <left/>
      <right style="thin">
        <color indexed="64"/>
      </right>
      <top style="thin">
        <color indexed="64"/>
      </top>
      <bottom style="thin">
        <color theme="8" tint="0.39997558519241921"/>
      </bottom>
      <diagonal/>
    </border>
    <border>
      <left/>
      <right style="thin">
        <color indexed="64"/>
      </right>
      <top style="thin">
        <color theme="8" tint="0.39997558519241921"/>
      </top>
      <bottom style="thin">
        <color theme="8" tint="0.39997558519241921"/>
      </bottom>
      <diagonal/>
    </border>
    <border>
      <left style="thin">
        <color indexed="64"/>
      </left>
      <right/>
      <top style="thin">
        <color theme="8" tint="0.39997558519241921"/>
      </top>
      <bottom style="thin">
        <color indexed="64"/>
      </bottom>
      <diagonal/>
    </border>
    <border>
      <left/>
      <right style="thin">
        <color indexed="64"/>
      </right>
      <top style="thin">
        <color theme="8" tint="0.39997558519241921"/>
      </top>
      <bottom style="thin">
        <color indexed="64"/>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theme="1"/>
      </left>
      <right style="thin">
        <color indexed="64"/>
      </right>
      <top/>
      <bottom style="thin">
        <color theme="1"/>
      </bottom>
      <diagonal/>
    </border>
    <border>
      <left style="thin">
        <color indexed="64"/>
      </left>
      <right/>
      <top/>
      <bottom style="thin">
        <color theme="8" tint="0.39997558519241921"/>
      </bottom>
      <diagonal/>
    </border>
    <border>
      <left/>
      <right/>
      <top/>
      <bottom style="thin">
        <color theme="8" tint="0.39997558519241921"/>
      </bottom>
      <diagonal/>
    </border>
    <border>
      <left/>
      <right style="thin">
        <color indexed="64"/>
      </right>
      <top/>
      <bottom style="thin">
        <color theme="8" tint="0.39997558519241921"/>
      </bottom>
      <diagonal/>
    </border>
    <border>
      <left/>
      <right/>
      <top style="thin">
        <color theme="8" tint="0.39997558519241921"/>
      </top>
      <bottom/>
      <diagonal/>
    </border>
    <border>
      <left style="thin">
        <color indexed="64"/>
      </left>
      <right/>
      <top style="thin">
        <color theme="8" tint="0.39997558519241921"/>
      </top>
      <bottom/>
      <diagonal/>
    </border>
    <border>
      <left/>
      <right style="thin">
        <color indexed="64"/>
      </right>
      <top style="thin">
        <color theme="8" tint="0.39997558519241921"/>
      </top>
      <bottom/>
      <diagonal/>
    </border>
    <border>
      <left/>
      <right style="thin">
        <color theme="0"/>
      </right>
      <top/>
      <bottom style="thin">
        <color theme="1"/>
      </bottom>
      <diagonal/>
    </border>
    <border>
      <left style="thin">
        <color theme="1"/>
      </left>
      <right style="thin">
        <color theme="1"/>
      </right>
      <top style="thin">
        <color theme="1"/>
      </top>
      <bottom style="thin">
        <color theme="8" tint="0.39997558519241921"/>
      </bottom>
      <diagonal/>
    </border>
    <border>
      <left style="thin">
        <color theme="1"/>
      </left>
      <right style="thin">
        <color theme="1"/>
      </right>
      <top style="thin">
        <color theme="8" tint="0.39997558519241921"/>
      </top>
      <bottom style="thin">
        <color theme="8" tint="0.39997558519241921"/>
      </bottom>
      <diagonal/>
    </border>
    <border>
      <left style="thin">
        <color theme="1"/>
      </left>
      <right style="thin">
        <color theme="1"/>
      </right>
      <top style="thin">
        <color theme="8" tint="0.39997558519241921"/>
      </top>
      <bottom style="thin">
        <color theme="1"/>
      </bottom>
      <diagonal/>
    </border>
  </borders>
  <cellStyleXfs count="31">
    <xf numFmtId="0" fontId="0" fillId="0" borderId="0"/>
    <xf numFmtId="0" fontId="9" fillId="0" borderId="0">
      <protection locked="0"/>
    </xf>
    <xf numFmtId="9" fontId="12" fillId="0" borderId="0" applyFont="0" applyFill="0" applyBorder="0" applyAlignment="0" applyProtection="0"/>
    <xf numFmtId="0" fontId="18" fillId="0" borderId="0">
      <protection locked="0"/>
    </xf>
    <xf numFmtId="164" fontId="9" fillId="0" borderId="0" applyFont="0" applyFill="0" applyBorder="0" applyAlignment="0" applyProtection="0"/>
    <xf numFmtId="0" fontId="12" fillId="8" borderId="7">
      <alignment horizontal="center" vertical="center"/>
      <protection locked="0"/>
    </xf>
    <xf numFmtId="164" fontId="23" fillId="0" borderId="0" applyFont="0" applyFill="0" applyBorder="0" applyAlignment="0" applyProtection="0"/>
    <xf numFmtId="9" fontId="23" fillId="0" borderId="0" applyFont="0" applyFill="0" applyBorder="0" applyAlignment="0" applyProtection="0"/>
    <xf numFmtId="0" fontId="26" fillId="0" borderId="0">
      <alignment horizontal="left" vertical="center" wrapText="1"/>
    </xf>
    <xf numFmtId="0" fontId="24" fillId="0" borderId="0"/>
    <xf numFmtId="0" fontId="9" fillId="11" borderId="0">
      <protection locked="0"/>
    </xf>
    <xf numFmtId="0" fontId="9" fillId="8" borderId="29">
      <alignment vertical="center"/>
      <protection locked="0"/>
    </xf>
    <xf numFmtId="0" fontId="36" fillId="0" borderId="0"/>
    <xf numFmtId="0" fontId="38" fillId="0" borderId="0" applyNumberFormat="0" applyFill="0" applyBorder="0" applyAlignment="0" applyProtection="0"/>
    <xf numFmtId="43" fontId="36" fillId="0" borderId="0" applyFont="0" applyFill="0" applyBorder="0" applyAlignment="0" applyProtection="0"/>
    <xf numFmtId="0" fontId="9" fillId="11" borderId="0">
      <protection locked="0"/>
    </xf>
    <xf numFmtId="0" fontId="9" fillId="8" borderId="7">
      <alignment horizontal="center" vertical="center"/>
      <protection locked="0"/>
    </xf>
    <xf numFmtId="0" fontId="9" fillId="8" borderId="29">
      <alignment vertical="center"/>
      <protection locked="0"/>
    </xf>
    <xf numFmtId="0" fontId="9" fillId="0" borderId="0">
      <protection locked="0"/>
    </xf>
    <xf numFmtId="0" fontId="23" fillId="0" borderId="0"/>
    <xf numFmtId="9" fontId="9" fillId="0" borderId="0" applyFont="0" applyFill="0" applyBorder="0" applyAlignment="0" applyProtection="0"/>
    <xf numFmtId="0" fontId="36" fillId="0" borderId="0"/>
    <xf numFmtId="164" fontId="9" fillId="0" borderId="0" applyFont="0" applyFill="0" applyBorder="0" applyAlignment="0" applyProtection="0"/>
    <xf numFmtId="0" fontId="9" fillId="0" borderId="0">
      <protection locked="0"/>
    </xf>
    <xf numFmtId="0" fontId="9" fillId="11" borderId="0">
      <protection locked="0"/>
    </xf>
    <xf numFmtId="0" fontId="9" fillId="8" borderId="29">
      <alignment vertical="center"/>
      <protection locked="0"/>
    </xf>
    <xf numFmtId="43" fontId="9" fillId="0" borderId="0" applyFont="0" applyFill="0" applyBorder="0" applyAlignment="0" applyProtection="0"/>
    <xf numFmtId="0" fontId="65" fillId="0" borderId="0" applyNumberFormat="0" applyFill="0" applyBorder="0" applyAlignment="0" applyProtection="0"/>
    <xf numFmtId="0" fontId="36" fillId="0" borderId="0"/>
    <xf numFmtId="0" fontId="18" fillId="0" borderId="0">
      <protection locked="0"/>
    </xf>
    <xf numFmtId="0" fontId="9" fillId="11" borderId="0">
      <protection locked="0"/>
    </xf>
  </cellStyleXfs>
  <cellXfs count="1274">
    <xf numFmtId="0" fontId="0" fillId="0" borderId="0" xfId="0"/>
    <xf numFmtId="0" fontId="37" fillId="0" borderId="0" xfId="12" applyFont="1"/>
    <xf numFmtId="0" fontId="36" fillId="0" borderId="0" xfId="12"/>
    <xf numFmtId="0" fontId="32" fillId="0" borderId="0" xfId="12" applyFont="1"/>
    <xf numFmtId="0" fontId="38" fillId="0" borderId="0" xfId="13"/>
    <xf numFmtId="0" fontId="39" fillId="0" borderId="0" xfId="12" applyFont="1" applyAlignment="1">
      <alignment horizontal="right"/>
    </xf>
    <xf numFmtId="0" fontId="36" fillId="0" borderId="0" xfId="12" applyAlignment="1">
      <alignment wrapText="1"/>
    </xf>
    <xf numFmtId="2" fontId="38" fillId="0" borderId="0" xfId="13" applyNumberFormat="1"/>
    <xf numFmtId="0" fontId="40" fillId="0" borderId="0" xfId="12" applyFont="1"/>
    <xf numFmtId="0" fontId="36" fillId="2" borderId="0" xfId="12" applyFill="1"/>
    <xf numFmtId="0" fontId="39" fillId="0" borderId="0" xfId="12" applyFont="1"/>
    <xf numFmtId="0" fontId="36" fillId="0" borderId="0" xfId="12" applyFont="1"/>
    <xf numFmtId="0" fontId="44" fillId="0" borderId="0" xfId="12" applyFont="1"/>
    <xf numFmtId="0" fontId="36" fillId="0" borderId="0" xfId="12" applyAlignment="1"/>
    <xf numFmtId="0" fontId="9" fillId="0" borderId="0" xfId="12" applyFont="1" applyFill="1" applyBorder="1" applyProtection="1">
      <protection locked="0"/>
    </xf>
    <xf numFmtId="0" fontId="35" fillId="2" borderId="0" xfId="12" applyFont="1" applyFill="1"/>
    <xf numFmtId="0" fontId="41" fillId="0" borderId="0" xfId="12" applyFont="1" applyProtection="1">
      <protection locked="0"/>
    </xf>
    <xf numFmtId="0" fontId="22" fillId="0" borderId="0" xfId="11" applyFont="1" applyFill="1" applyBorder="1" applyAlignment="1">
      <alignment vertical="center" wrapText="1"/>
      <protection locked="0"/>
    </xf>
    <xf numFmtId="167" fontId="22" fillId="0" borderId="0" xfId="26" applyNumberFormat="1" applyFont="1" applyFill="1" applyProtection="1">
      <protection locked="0"/>
    </xf>
    <xf numFmtId="0" fontId="41" fillId="7" borderId="28" xfId="12" applyFont="1" applyFill="1" applyBorder="1" applyAlignment="1">
      <alignment textRotation="90"/>
    </xf>
    <xf numFmtId="0" fontId="41" fillId="7" borderId="29" xfId="12" applyFont="1" applyFill="1" applyBorder="1" applyProtection="1">
      <protection locked="0"/>
    </xf>
    <xf numFmtId="0" fontId="41" fillId="7" borderId="29" xfId="12" applyFont="1" applyFill="1" applyBorder="1" applyAlignment="1" applyProtection="1">
      <alignment horizontal="right" wrapText="1"/>
      <protection locked="0"/>
    </xf>
    <xf numFmtId="0" fontId="41" fillId="7" borderId="30" xfId="12" applyFont="1" applyFill="1" applyBorder="1" applyAlignment="1" applyProtection="1">
      <alignment horizontal="right"/>
      <protection locked="0"/>
    </xf>
    <xf numFmtId="0" fontId="36" fillId="0" borderId="10" xfId="12" applyFill="1" applyBorder="1"/>
    <xf numFmtId="0" fontId="9" fillId="0" borderId="0" xfId="25" applyFont="1" applyFill="1" applyBorder="1" applyAlignment="1">
      <alignment vertical="center" wrapText="1"/>
      <protection locked="0"/>
    </xf>
    <xf numFmtId="167" fontId="36" fillId="0" borderId="0" xfId="14" applyNumberFormat="1" applyFill="1" applyBorder="1" applyProtection="1">
      <protection locked="0"/>
    </xf>
    <xf numFmtId="166" fontId="36" fillId="0" borderId="16" xfId="12" applyNumberFormat="1" applyFill="1" applyBorder="1" applyProtection="1">
      <protection locked="0"/>
    </xf>
    <xf numFmtId="0" fontId="36" fillId="0" borderId="2" xfId="12" applyFill="1" applyBorder="1"/>
    <xf numFmtId="0" fontId="9" fillId="0" borderId="3" xfId="25" applyFont="1" applyFill="1" applyBorder="1" applyAlignment="1">
      <alignment vertical="center" wrapText="1"/>
      <protection locked="0"/>
    </xf>
    <xf numFmtId="167" fontId="36" fillId="0" borderId="3" xfId="14" applyNumberFormat="1" applyFill="1" applyBorder="1" applyProtection="1">
      <protection locked="0"/>
    </xf>
    <xf numFmtId="166" fontId="36" fillId="0" borderId="4" xfId="12" applyNumberFormat="1" applyFill="1" applyBorder="1" applyProtection="1">
      <protection locked="0"/>
    </xf>
    <xf numFmtId="0" fontId="36" fillId="0" borderId="3" xfId="12" applyFill="1" applyBorder="1"/>
    <xf numFmtId="0" fontId="36" fillId="0" borderId="4" xfId="12" applyFill="1" applyBorder="1"/>
    <xf numFmtId="1" fontId="22" fillId="0" borderId="0" xfId="11" applyNumberFormat="1" applyFont="1" applyFill="1" applyBorder="1" applyAlignment="1">
      <alignment vertical="center" wrapText="1"/>
      <protection locked="0"/>
    </xf>
    <xf numFmtId="1" fontId="41" fillId="0" borderId="0" xfId="12" applyNumberFormat="1" applyFont="1" applyProtection="1">
      <protection locked="0"/>
    </xf>
    <xf numFmtId="0" fontId="35" fillId="2" borderId="0" xfId="12" applyFont="1" applyFill="1" applyAlignment="1">
      <alignment horizontal="right"/>
    </xf>
    <xf numFmtId="0" fontId="35" fillId="0" borderId="0" xfId="12" applyFont="1" applyFill="1" applyAlignment="1"/>
    <xf numFmtId="0" fontId="35" fillId="0" borderId="0" xfId="12" applyFont="1" applyFill="1"/>
    <xf numFmtId="0" fontId="35" fillId="0" borderId="0" xfId="12" applyFont="1" applyFill="1" applyAlignment="1">
      <alignment horizontal="right"/>
    </xf>
    <xf numFmtId="0" fontId="26" fillId="0" borderId="0" xfId="12" applyFont="1" applyFill="1" applyBorder="1" applyProtection="1">
      <protection locked="0"/>
    </xf>
    <xf numFmtId="0" fontId="59" fillId="0" borderId="0" xfId="12" applyFont="1" applyFill="1" applyBorder="1"/>
    <xf numFmtId="0" fontId="60" fillId="0" borderId="0" xfId="12" applyFont="1" applyFill="1" applyBorder="1"/>
    <xf numFmtId="0" fontId="61" fillId="0" borderId="0" xfId="12" applyFont="1" applyFill="1" applyBorder="1"/>
    <xf numFmtId="0" fontId="60" fillId="15" borderId="0" xfId="12" applyFont="1" applyFill="1" applyBorder="1"/>
    <xf numFmtId="0" fontId="62" fillId="0" borderId="0" xfId="12" applyFont="1" applyFill="1" applyBorder="1"/>
    <xf numFmtId="0" fontId="63" fillId="2" borderId="0" xfId="12" applyFont="1" applyFill="1"/>
    <xf numFmtId="0" fontId="36" fillId="0" borderId="0" xfId="12" applyAlignment="1">
      <alignment horizontal="left"/>
    </xf>
    <xf numFmtId="0" fontId="39" fillId="0" borderId="0" xfId="12" applyFont="1" applyAlignment="1">
      <alignment wrapText="1"/>
    </xf>
    <xf numFmtId="0" fontId="36" fillId="0" borderId="0" xfId="12" applyFont="1" applyAlignment="1">
      <alignment wrapText="1"/>
    </xf>
    <xf numFmtId="0" fontId="30" fillId="0" borderId="0" xfId="12" applyFont="1"/>
    <xf numFmtId="0" fontId="36" fillId="0" borderId="0" xfId="12" applyFont="1" applyAlignment="1"/>
    <xf numFmtId="0" fontId="65" fillId="0" borderId="0" xfId="27" applyAlignment="1">
      <alignment horizontal="right"/>
    </xf>
    <xf numFmtId="0" fontId="65" fillId="0" borderId="0" xfId="27" applyAlignment="1"/>
    <xf numFmtId="9" fontId="8" fillId="0" borderId="0" xfId="2" applyFont="1" applyFill="1" applyProtection="1">
      <protection hidden="1"/>
    </xf>
    <xf numFmtId="9" fontId="13" fillId="0" borderId="0" xfId="2" applyFont="1" applyBorder="1" applyAlignment="1" applyProtection="1">
      <alignment horizontal="right" wrapText="1"/>
      <protection hidden="1"/>
    </xf>
    <xf numFmtId="3" fontId="9" fillId="0" borderId="0" xfId="1" applyNumberFormat="1" applyFont="1" applyBorder="1" applyAlignment="1" applyProtection="1">
      <alignment horizontal="right" wrapText="1"/>
      <protection hidden="1"/>
    </xf>
    <xf numFmtId="3" fontId="9" fillId="0" borderId="0" xfId="0" applyNumberFormat="1" applyFont="1" applyAlignment="1" applyProtection="1">
      <alignment horizontal="right" vertical="center"/>
      <protection hidden="1"/>
    </xf>
    <xf numFmtId="9" fontId="9" fillId="0" borderId="16" xfId="1" applyNumberFormat="1" applyFont="1" applyBorder="1" applyAlignment="1" applyProtection="1">
      <alignment horizontal="right" wrapText="1"/>
      <protection hidden="1"/>
    </xf>
    <xf numFmtId="1" fontId="9" fillId="0" borderId="0" xfId="0" applyNumberFormat="1" applyFont="1" applyAlignment="1" applyProtection="1">
      <alignment horizontal="right" vertical="center"/>
      <protection hidden="1"/>
    </xf>
    <xf numFmtId="9" fontId="9" fillId="0" borderId="0" xfId="1" applyNumberFormat="1" applyFont="1" applyBorder="1" applyAlignment="1" applyProtection="1">
      <alignment horizontal="right" wrapText="1"/>
      <protection hidden="1"/>
    </xf>
    <xf numFmtId="3" fontId="9" fillId="0" borderId="0" xfId="1" applyNumberFormat="1" applyFont="1" applyBorder="1" applyAlignment="1" applyProtection="1">
      <alignment horizontal="right" vertical="center"/>
      <protection hidden="1"/>
    </xf>
    <xf numFmtId="3" fontId="18" fillId="7" borderId="9" xfId="1" applyNumberFormat="1" applyFont="1" applyFill="1" applyBorder="1" applyAlignment="1" applyProtection="1">
      <alignment horizontal="right"/>
      <protection hidden="1"/>
    </xf>
    <xf numFmtId="9" fontId="18" fillId="7" borderId="9" xfId="1" applyNumberFormat="1" applyFont="1" applyFill="1" applyBorder="1" applyAlignment="1" applyProtection="1">
      <alignment horizontal="right" wrapText="1"/>
      <protection hidden="1"/>
    </xf>
    <xf numFmtId="0" fontId="17" fillId="4" borderId="10" xfId="1" applyNumberFormat="1" applyFont="1" applyFill="1" applyBorder="1" applyAlignment="1" applyProtection="1">
      <alignment wrapText="1"/>
      <protection hidden="1"/>
    </xf>
    <xf numFmtId="9" fontId="13" fillId="4" borderId="0" xfId="2" applyFont="1" applyFill="1" applyBorder="1" applyAlignment="1" applyProtection="1">
      <alignment horizontal="right" wrapText="1"/>
      <protection hidden="1"/>
    </xf>
    <xf numFmtId="0" fontId="13" fillId="4" borderId="6" xfId="1" applyFont="1" applyFill="1" applyBorder="1" applyAlignment="1" applyProtection="1">
      <alignment horizontal="right" wrapText="1"/>
      <protection hidden="1"/>
    </xf>
    <xf numFmtId="0" fontId="17" fillId="0" borderId="10" xfId="1" applyNumberFormat="1" applyFont="1" applyBorder="1" applyAlignment="1" applyProtection="1">
      <alignment wrapText="1"/>
      <protection hidden="1"/>
    </xf>
    <xf numFmtId="0" fontId="13" fillId="0" borderId="7" xfId="1" applyFont="1" applyBorder="1" applyAlignment="1" applyProtection="1">
      <alignment horizontal="right" wrapText="1"/>
      <protection hidden="1"/>
    </xf>
    <xf numFmtId="0" fontId="13" fillId="4" borderId="7" xfId="1" applyFont="1" applyFill="1" applyBorder="1" applyAlignment="1" applyProtection="1">
      <alignment horizontal="right" wrapText="1"/>
      <protection hidden="1"/>
    </xf>
    <xf numFmtId="0" fontId="13" fillId="6" borderId="8" xfId="1" applyFont="1" applyFill="1" applyBorder="1" applyAlignment="1" applyProtection="1">
      <alignment wrapText="1"/>
      <protection hidden="1"/>
    </xf>
    <xf numFmtId="9" fontId="13" fillId="6" borderId="9" xfId="2" applyFont="1" applyFill="1" applyBorder="1" applyAlignment="1" applyProtection="1">
      <alignment horizontal="right" wrapText="1"/>
      <protection hidden="1"/>
    </xf>
    <xf numFmtId="165" fontId="13" fillId="6" borderId="6" xfId="4" applyNumberFormat="1" applyFont="1" applyFill="1" applyBorder="1" applyAlignment="1" applyProtection="1">
      <alignment horizontal="right" wrapText="1"/>
      <protection hidden="1"/>
    </xf>
    <xf numFmtId="0" fontId="13" fillId="7" borderId="10" xfId="1" applyFont="1" applyFill="1" applyBorder="1" applyAlignment="1" applyProtection="1">
      <alignment wrapText="1"/>
      <protection hidden="1"/>
    </xf>
    <xf numFmtId="9" fontId="13" fillId="7" borderId="0" xfId="2" applyFont="1" applyFill="1" applyBorder="1" applyAlignment="1" applyProtection="1">
      <alignment horizontal="right" wrapText="1"/>
      <protection hidden="1"/>
    </xf>
    <xf numFmtId="165" fontId="13" fillId="7" borderId="7" xfId="4" applyNumberFormat="1" applyFont="1" applyFill="1" applyBorder="1" applyAlignment="1" applyProtection="1">
      <alignment horizontal="right" wrapText="1"/>
      <protection hidden="1"/>
    </xf>
    <xf numFmtId="0" fontId="13" fillId="6" borderId="2" xfId="1" applyFont="1" applyFill="1" applyBorder="1" applyAlignment="1" applyProtection="1">
      <alignment wrapText="1"/>
      <protection hidden="1"/>
    </xf>
    <xf numFmtId="9" fontId="13" fillId="6" borderId="3" xfId="2" applyFont="1" applyFill="1" applyBorder="1" applyAlignment="1" applyProtection="1">
      <alignment horizontal="right" wrapText="1"/>
      <protection hidden="1"/>
    </xf>
    <xf numFmtId="165" fontId="13" fillId="6" borderId="11" xfId="4" applyNumberFormat="1" applyFont="1" applyFill="1" applyBorder="1" applyAlignment="1" applyProtection="1">
      <alignment horizontal="right" wrapText="1"/>
      <protection hidden="1"/>
    </xf>
    <xf numFmtId="0" fontId="13" fillId="4" borderId="6" xfId="2" applyNumberFormat="1" applyFont="1" applyFill="1" applyBorder="1" applyAlignment="1" applyProtection="1">
      <alignment horizontal="right" wrapText="1"/>
      <protection hidden="1"/>
    </xf>
    <xf numFmtId="0" fontId="13" fillId="0" borderId="7" xfId="2" applyNumberFormat="1" applyFont="1" applyBorder="1" applyAlignment="1" applyProtection="1">
      <alignment horizontal="right" wrapText="1"/>
      <protection hidden="1"/>
    </xf>
    <xf numFmtId="0" fontId="13" fillId="4" borderId="7" xfId="2" applyNumberFormat="1" applyFont="1" applyFill="1" applyBorder="1" applyAlignment="1" applyProtection="1">
      <alignment horizontal="right" wrapText="1"/>
      <protection hidden="1"/>
    </xf>
    <xf numFmtId="0" fontId="17" fillId="9" borderId="10" xfId="1" applyNumberFormat="1" applyFont="1" applyFill="1" applyBorder="1" applyAlignment="1" applyProtection="1">
      <alignment wrapText="1"/>
      <protection hidden="1"/>
    </xf>
    <xf numFmtId="9" fontId="13" fillId="0" borderId="0" xfId="2" applyFont="1" applyFill="1" applyBorder="1" applyAlignment="1" applyProtection="1">
      <alignment horizontal="right" wrapText="1"/>
      <protection hidden="1"/>
    </xf>
    <xf numFmtId="0" fontId="13" fillId="0" borderId="7" xfId="2" applyNumberFormat="1" applyFont="1" applyFill="1" applyBorder="1" applyAlignment="1" applyProtection="1">
      <alignment horizontal="right" wrapText="1"/>
      <protection hidden="1"/>
    </xf>
    <xf numFmtId="165" fontId="13" fillId="7" borderId="7" xfId="6" applyNumberFormat="1" applyFont="1" applyFill="1" applyBorder="1" applyAlignment="1" applyProtection="1">
      <alignment horizontal="right" wrapText="1"/>
      <protection hidden="1"/>
    </xf>
    <xf numFmtId="165" fontId="13" fillId="6" borderId="11" xfId="6" applyNumberFormat="1" applyFont="1" applyFill="1" applyBorder="1" applyAlignment="1" applyProtection="1">
      <alignment horizontal="right" wrapText="1"/>
      <protection hidden="1"/>
    </xf>
    <xf numFmtId="9" fontId="13" fillId="4" borderId="31" xfId="1" applyNumberFormat="1" applyFont="1" applyFill="1" applyBorder="1" applyAlignment="1" applyProtection="1">
      <alignment wrapText="1"/>
      <protection hidden="1"/>
    </xf>
    <xf numFmtId="9" fontId="13" fillId="4" borderId="16" xfId="2" applyFont="1" applyFill="1" applyBorder="1" applyAlignment="1" applyProtection="1">
      <alignment wrapText="1"/>
      <protection hidden="1"/>
    </xf>
    <xf numFmtId="9" fontId="13" fillId="0" borderId="16" xfId="1" applyNumberFormat="1" applyFont="1" applyBorder="1" applyAlignment="1" applyProtection="1">
      <alignment wrapText="1"/>
      <protection hidden="1"/>
    </xf>
    <xf numFmtId="9" fontId="13" fillId="0" borderId="16" xfId="2" applyFont="1" applyBorder="1" applyAlignment="1" applyProtection="1">
      <alignment wrapText="1"/>
      <protection hidden="1"/>
    </xf>
    <xf numFmtId="9" fontId="13" fillId="4" borderId="16" xfId="1" applyNumberFormat="1" applyFont="1" applyFill="1" applyBorder="1" applyAlignment="1" applyProtection="1">
      <alignment wrapText="1"/>
      <protection hidden="1"/>
    </xf>
    <xf numFmtId="9" fontId="13" fillId="0" borderId="16" xfId="2" applyFont="1" applyBorder="1" applyAlignment="1" applyProtection="1">
      <alignment horizontal="right" wrapText="1"/>
      <protection hidden="1"/>
    </xf>
    <xf numFmtId="0" fontId="13" fillId="4" borderId="0" xfId="0" applyFont="1" applyFill="1" applyAlignment="1" applyProtection="1">
      <alignment wrapText="1"/>
      <protection hidden="1"/>
    </xf>
    <xf numFmtId="3" fontId="13" fillId="4" borderId="0" xfId="0" applyNumberFormat="1" applyFont="1" applyFill="1" applyAlignment="1" applyProtection="1">
      <alignment wrapText="1"/>
      <protection hidden="1"/>
    </xf>
    <xf numFmtId="3" fontId="20" fillId="7" borderId="29" xfId="1" applyNumberFormat="1" applyFont="1" applyFill="1" applyBorder="1" applyAlignment="1" applyProtection="1">
      <alignment wrapText="1"/>
      <protection hidden="1"/>
    </xf>
    <xf numFmtId="9" fontId="20" fillId="7" borderId="30" xfId="2" applyFont="1" applyFill="1" applyBorder="1" applyAlignment="1" applyProtection="1">
      <alignment wrapText="1"/>
      <protection hidden="1"/>
    </xf>
    <xf numFmtId="9" fontId="21" fillId="4" borderId="3" xfId="2" applyFont="1" applyFill="1" applyBorder="1" applyAlignment="1" applyProtection="1">
      <alignment horizontal="right" wrapText="1"/>
      <protection hidden="1"/>
    </xf>
    <xf numFmtId="9" fontId="21" fillId="4" borderId="11" xfId="2" applyFont="1" applyFill="1" applyBorder="1" applyAlignment="1" applyProtection="1">
      <alignment horizontal="right" wrapText="1"/>
      <protection hidden="1"/>
    </xf>
    <xf numFmtId="9" fontId="21" fillId="0" borderId="3" xfId="2" applyFont="1" applyFill="1" applyBorder="1" applyAlignment="1" applyProtection="1">
      <alignment horizontal="right" wrapText="1"/>
      <protection hidden="1"/>
    </xf>
    <xf numFmtId="9" fontId="21" fillId="9" borderId="11" xfId="2" applyFont="1" applyFill="1" applyBorder="1" applyAlignment="1" applyProtection="1">
      <alignment horizontal="right" wrapText="1"/>
      <protection hidden="1"/>
    </xf>
    <xf numFmtId="9" fontId="21" fillId="0" borderId="11" xfId="2" applyFont="1" applyFill="1" applyBorder="1" applyAlignment="1" applyProtection="1">
      <alignment horizontal="right" wrapText="1"/>
      <protection hidden="1"/>
    </xf>
    <xf numFmtId="9" fontId="21" fillId="9" borderId="3" xfId="2" applyFont="1" applyFill="1" applyBorder="1" applyAlignment="1" applyProtection="1">
      <alignment horizontal="right" wrapText="1"/>
      <protection hidden="1"/>
    </xf>
    <xf numFmtId="9" fontId="13" fillId="4" borderId="0" xfId="1" applyNumberFormat="1" applyFont="1" applyFill="1" applyAlignment="1" applyProtection="1">
      <alignment horizontal="right" wrapText="1"/>
      <protection hidden="1"/>
    </xf>
    <xf numFmtId="0" fontId="13" fillId="4" borderId="0" xfId="1" applyFont="1" applyFill="1" applyBorder="1" applyAlignment="1" applyProtection="1">
      <alignment horizontal="right" wrapText="1"/>
      <protection hidden="1"/>
    </xf>
    <xf numFmtId="9" fontId="13" fillId="4" borderId="16" xfId="2" applyFont="1" applyFill="1" applyBorder="1" applyAlignment="1" applyProtection="1">
      <alignment horizontal="right" wrapText="1"/>
      <protection hidden="1"/>
    </xf>
    <xf numFmtId="9" fontId="13" fillId="0" borderId="0" xfId="1" applyNumberFormat="1" applyFont="1" applyAlignment="1" applyProtection="1">
      <alignment horizontal="right" wrapText="1"/>
      <protection hidden="1"/>
    </xf>
    <xf numFmtId="0" fontId="13" fillId="0" borderId="0" xfId="1" applyFont="1" applyBorder="1" applyAlignment="1" applyProtection="1">
      <alignment horizontal="right" wrapText="1"/>
      <protection hidden="1"/>
    </xf>
    <xf numFmtId="3" fontId="13" fillId="0" borderId="10" xfId="1" applyNumberFormat="1" applyFont="1" applyBorder="1" applyAlignment="1" applyProtection="1">
      <alignment horizontal="right" wrapText="1"/>
      <protection hidden="1"/>
    </xf>
    <xf numFmtId="0" fontId="0" fillId="7" borderId="0" xfId="0" applyFill="1" applyProtection="1">
      <protection hidden="1"/>
    </xf>
    <xf numFmtId="164" fontId="0" fillId="7" borderId="0" xfId="6" applyFont="1" applyFill="1" applyAlignment="1" applyProtection="1">
      <alignment horizontal="right"/>
      <protection hidden="1"/>
    </xf>
    <xf numFmtId="3" fontId="0" fillId="7" borderId="0" xfId="0" applyNumberFormat="1" applyFill="1" applyAlignment="1" applyProtection="1">
      <alignment horizontal="right"/>
      <protection hidden="1"/>
    </xf>
    <xf numFmtId="9" fontId="0" fillId="7" borderId="0" xfId="0" applyNumberFormat="1" applyFill="1" applyAlignment="1" applyProtection="1">
      <alignment horizontal="right"/>
      <protection hidden="1"/>
    </xf>
    <xf numFmtId="0" fontId="0" fillId="7" borderId="0" xfId="0" applyFill="1" applyAlignment="1" applyProtection="1">
      <alignment horizontal="right"/>
      <protection hidden="1"/>
    </xf>
    <xf numFmtId="9" fontId="0" fillId="7" borderId="0" xfId="7" applyFont="1" applyFill="1" applyAlignment="1" applyProtection="1">
      <alignment horizontal="right"/>
      <protection hidden="1"/>
    </xf>
    <xf numFmtId="0" fontId="0" fillId="0" borderId="0" xfId="0" applyProtection="1">
      <protection hidden="1"/>
    </xf>
    <xf numFmtId="0" fontId="0" fillId="7" borderId="0" xfId="0" applyFill="1" applyBorder="1" applyProtection="1">
      <protection hidden="1"/>
    </xf>
    <xf numFmtId="3" fontId="0" fillId="7" borderId="0" xfId="0" applyNumberFormat="1" applyFill="1" applyBorder="1" applyAlignment="1" applyProtection="1">
      <alignment horizontal="right"/>
      <protection hidden="1"/>
    </xf>
    <xf numFmtId="0" fontId="0" fillId="7" borderId="0" xfId="0" applyNumberFormat="1" applyFill="1" applyBorder="1" applyAlignment="1" applyProtection="1">
      <alignment horizontal="right"/>
      <protection hidden="1"/>
    </xf>
    <xf numFmtId="0" fontId="9" fillId="0" borderId="0" xfId="1" applyFont="1" applyProtection="1">
      <protection hidden="1"/>
    </xf>
    <xf numFmtId="0" fontId="25" fillId="2" borderId="0" xfId="1" applyFont="1" applyFill="1" applyProtection="1">
      <protection hidden="1"/>
    </xf>
    <xf numFmtId="0" fontId="22" fillId="2" borderId="0" xfId="1" applyFont="1" applyFill="1" applyProtection="1">
      <protection hidden="1"/>
    </xf>
    <xf numFmtId="0" fontId="9" fillId="2" borderId="0" xfId="1" applyFont="1" applyFill="1" applyProtection="1">
      <protection hidden="1"/>
    </xf>
    <xf numFmtId="0" fontId="22" fillId="0" borderId="0" xfId="1" applyFont="1" applyProtection="1">
      <protection hidden="1"/>
    </xf>
    <xf numFmtId="0" fontId="22" fillId="0" borderId="0" xfId="1" applyFont="1" applyFill="1" applyProtection="1">
      <protection hidden="1"/>
    </xf>
    <xf numFmtId="0" fontId="11" fillId="0" borderId="0" xfId="1" applyFont="1" applyFill="1" applyBorder="1" applyAlignment="1" applyProtection="1">
      <alignment wrapText="1"/>
      <protection hidden="1"/>
    </xf>
    <xf numFmtId="9" fontId="27" fillId="0" borderId="0" xfId="2" applyFont="1" applyFill="1" applyProtection="1">
      <protection hidden="1"/>
    </xf>
    <xf numFmtId="0" fontId="22" fillId="0" borderId="0" xfId="1" applyFont="1" applyFill="1" applyAlignment="1" applyProtection="1">
      <alignment wrapText="1"/>
      <protection hidden="1"/>
    </xf>
    <xf numFmtId="0" fontId="14" fillId="0" borderId="0" xfId="1" applyFont="1" applyProtection="1">
      <protection hidden="1"/>
    </xf>
    <xf numFmtId="0" fontId="11" fillId="0" borderId="0" xfId="1" applyFont="1" applyAlignment="1" applyProtection="1">
      <alignment wrapText="1"/>
      <protection hidden="1"/>
    </xf>
    <xf numFmtId="0" fontId="9" fillId="0" borderId="0" xfId="1" applyFont="1" applyAlignment="1" applyProtection="1">
      <alignment wrapText="1"/>
      <protection hidden="1"/>
    </xf>
    <xf numFmtId="9" fontId="13" fillId="0" borderId="0" xfId="2" applyFont="1" applyAlignment="1" applyProtection="1">
      <alignment horizontal="right" wrapText="1"/>
      <protection hidden="1"/>
    </xf>
    <xf numFmtId="0" fontId="9" fillId="0" borderId="0" xfId="1" applyFont="1" applyFill="1" applyAlignment="1" applyProtection="1">
      <protection hidden="1"/>
    </xf>
    <xf numFmtId="0" fontId="9" fillId="0" borderId="0" xfId="1" applyFont="1" applyFill="1" applyAlignment="1" applyProtection="1">
      <alignment wrapText="1"/>
      <protection hidden="1"/>
    </xf>
    <xf numFmtId="0" fontId="16" fillId="0" borderId="0" xfId="1" applyFont="1" applyAlignment="1" applyProtection="1">
      <protection hidden="1"/>
    </xf>
    <xf numFmtId="0" fontId="9" fillId="0" borderId="0" xfId="1" applyFont="1" applyAlignment="1" applyProtection="1">
      <protection hidden="1"/>
    </xf>
    <xf numFmtId="3" fontId="18" fillId="7" borderId="29" xfId="1" applyNumberFormat="1" applyFont="1" applyFill="1" applyBorder="1" applyAlignment="1" applyProtection="1">
      <alignment horizontal="right" wrapText="1"/>
      <protection hidden="1"/>
    </xf>
    <xf numFmtId="9" fontId="18" fillId="7" borderId="30" xfId="1" applyNumberFormat="1" applyFont="1" applyFill="1" applyBorder="1" applyAlignment="1" applyProtection="1">
      <alignment horizontal="right" wrapText="1"/>
      <protection hidden="1"/>
    </xf>
    <xf numFmtId="0" fontId="9" fillId="0" borderId="0" xfId="1" applyFont="1" applyBorder="1" applyAlignment="1" applyProtection="1">
      <protection hidden="1"/>
    </xf>
    <xf numFmtId="0" fontId="16" fillId="0" borderId="0" xfId="1" applyFont="1" applyAlignment="1" applyProtection="1">
      <alignment horizontal="left"/>
      <protection hidden="1"/>
    </xf>
    <xf numFmtId="0" fontId="11" fillId="3" borderId="1" xfId="1" applyFont="1" applyFill="1" applyBorder="1" applyAlignment="1" applyProtection="1">
      <alignment wrapText="1"/>
      <protection hidden="1"/>
    </xf>
    <xf numFmtId="0" fontId="11" fillId="3" borderId="5" xfId="1" applyFont="1" applyFill="1" applyBorder="1" applyAlignment="1" applyProtection="1">
      <alignment wrapText="1"/>
      <protection hidden="1"/>
    </xf>
    <xf numFmtId="165" fontId="13" fillId="6" borderId="9" xfId="4" applyNumberFormat="1" applyFont="1" applyFill="1" applyBorder="1" applyAlignment="1" applyProtection="1">
      <alignment horizontal="right" wrapText="1"/>
      <protection hidden="1"/>
    </xf>
    <xf numFmtId="165" fontId="13" fillId="7" borderId="0" xfId="4" applyNumberFormat="1" applyFont="1" applyFill="1" applyBorder="1" applyAlignment="1" applyProtection="1">
      <alignment horizontal="right" wrapText="1"/>
      <protection hidden="1"/>
    </xf>
    <xf numFmtId="165" fontId="13" fillId="7" borderId="0" xfId="4" applyNumberFormat="1" applyFont="1" applyFill="1" applyBorder="1" applyAlignment="1" applyProtection="1">
      <alignment horizontal="right"/>
      <protection hidden="1"/>
    </xf>
    <xf numFmtId="0" fontId="11" fillId="3" borderId="1" xfId="1" applyFont="1" applyFill="1" applyBorder="1" applyAlignment="1" applyProtection="1">
      <alignment horizontal="right" wrapText="1"/>
      <protection hidden="1"/>
    </xf>
    <xf numFmtId="0" fontId="11" fillId="3" borderId="5" xfId="1" applyFont="1" applyFill="1" applyBorder="1" applyAlignment="1" applyProtection="1">
      <alignment horizontal="right" wrapText="1"/>
      <protection hidden="1"/>
    </xf>
    <xf numFmtId="0" fontId="13" fillId="4" borderId="0" xfId="1" applyNumberFormat="1" applyFont="1" applyFill="1" applyAlignment="1" applyProtection="1">
      <alignment wrapText="1"/>
      <protection hidden="1"/>
    </xf>
    <xf numFmtId="9" fontId="13" fillId="4" borderId="0" xfId="2" applyFont="1" applyFill="1" applyAlignment="1" applyProtection="1">
      <alignment horizontal="right" wrapText="1"/>
      <protection hidden="1"/>
    </xf>
    <xf numFmtId="0" fontId="13" fillId="0" borderId="0" xfId="1" applyNumberFormat="1" applyFont="1" applyAlignment="1" applyProtection="1">
      <alignment wrapText="1"/>
      <protection hidden="1"/>
    </xf>
    <xf numFmtId="0" fontId="9" fillId="0" borderId="0" xfId="1" applyProtection="1">
      <protection hidden="1"/>
    </xf>
    <xf numFmtId="0" fontId="16" fillId="0" borderId="0" xfId="1" applyFont="1" applyProtection="1">
      <protection hidden="1"/>
    </xf>
    <xf numFmtId="0" fontId="11" fillId="3" borderId="13" xfId="1" applyFont="1" applyFill="1" applyBorder="1" applyAlignment="1" applyProtection="1">
      <alignment wrapText="1"/>
      <protection hidden="1"/>
    </xf>
    <xf numFmtId="0" fontId="11" fillId="3" borderId="14" xfId="1" applyFont="1" applyFill="1" applyBorder="1" applyAlignment="1" applyProtection="1">
      <alignment wrapText="1"/>
      <protection hidden="1"/>
    </xf>
    <xf numFmtId="0" fontId="11" fillId="3" borderId="22" xfId="1" applyFont="1" applyFill="1" applyBorder="1" applyAlignment="1" applyProtection="1">
      <alignment wrapText="1"/>
      <protection hidden="1"/>
    </xf>
    <xf numFmtId="9" fontId="17" fillId="4" borderId="10" xfId="1" applyNumberFormat="1" applyFont="1" applyFill="1" applyBorder="1" applyAlignment="1" applyProtection="1">
      <alignment wrapText="1"/>
      <protection hidden="1"/>
    </xf>
    <xf numFmtId="0" fontId="13" fillId="4" borderId="0" xfId="1" applyFont="1" applyFill="1" applyBorder="1" applyAlignment="1" applyProtection="1">
      <alignment wrapText="1"/>
      <protection hidden="1"/>
    </xf>
    <xf numFmtId="0" fontId="13" fillId="4" borderId="0" xfId="1" applyNumberFormat="1" applyFont="1" applyFill="1" applyBorder="1" applyAlignment="1" applyProtection="1">
      <alignment wrapText="1"/>
      <protection hidden="1"/>
    </xf>
    <xf numFmtId="0" fontId="13" fillId="4" borderId="6" xfId="1" applyFont="1" applyFill="1" applyBorder="1" applyAlignment="1" applyProtection="1">
      <alignment wrapText="1"/>
      <protection hidden="1"/>
    </xf>
    <xf numFmtId="0" fontId="13" fillId="0" borderId="0" xfId="1" applyFont="1" applyBorder="1" applyAlignment="1" applyProtection="1">
      <alignment wrapText="1"/>
      <protection hidden="1"/>
    </xf>
    <xf numFmtId="0" fontId="13" fillId="0" borderId="0" xfId="1" applyNumberFormat="1" applyFont="1" applyBorder="1" applyAlignment="1" applyProtection="1">
      <alignment wrapText="1"/>
      <protection hidden="1"/>
    </xf>
    <xf numFmtId="0" fontId="13" fillId="0" borderId="7" xfId="1" applyFont="1" applyBorder="1" applyAlignment="1" applyProtection="1">
      <alignment wrapText="1"/>
      <protection hidden="1"/>
    </xf>
    <xf numFmtId="0" fontId="13" fillId="4" borderId="7" xfId="1" applyFont="1" applyFill="1" applyBorder="1" applyAlignment="1" applyProtection="1">
      <alignment wrapText="1"/>
      <protection hidden="1"/>
    </xf>
    <xf numFmtId="9" fontId="17" fillId="0" borderId="10" xfId="1" applyNumberFormat="1" applyFont="1" applyBorder="1" applyAlignment="1" applyProtection="1">
      <alignment wrapText="1"/>
      <protection hidden="1"/>
    </xf>
    <xf numFmtId="0" fontId="13" fillId="7" borderId="0" xfId="1" applyFont="1" applyFill="1" applyBorder="1" applyAlignment="1" applyProtection="1">
      <alignment wrapText="1"/>
      <protection hidden="1"/>
    </xf>
    <xf numFmtId="0" fontId="13" fillId="7" borderId="16" xfId="1" applyFont="1" applyFill="1" applyBorder="1" applyAlignment="1" applyProtection="1">
      <alignment wrapText="1"/>
      <protection hidden="1"/>
    </xf>
    <xf numFmtId="165" fontId="13" fillId="7" borderId="16" xfId="4" applyNumberFormat="1" applyFont="1" applyFill="1" applyBorder="1" applyAlignment="1" applyProtection="1">
      <alignment horizontal="right" wrapText="1"/>
      <protection hidden="1"/>
    </xf>
    <xf numFmtId="0" fontId="13" fillId="6" borderId="3" xfId="1" applyFont="1" applyFill="1" applyBorder="1" applyAlignment="1" applyProtection="1">
      <alignment wrapText="1"/>
      <protection hidden="1"/>
    </xf>
    <xf numFmtId="0" fontId="13" fillId="6" borderId="4" xfId="1" applyFont="1" applyFill="1" applyBorder="1" applyAlignment="1" applyProtection="1">
      <alignment wrapText="1"/>
      <protection hidden="1"/>
    </xf>
    <xf numFmtId="165" fontId="13" fillId="6" borderId="4" xfId="4" applyNumberFormat="1" applyFont="1" applyFill="1" applyBorder="1" applyAlignment="1" applyProtection="1">
      <alignment horizontal="right" wrapText="1"/>
      <protection hidden="1"/>
    </xf>
    <xf numFmtId="0" fontId="17" fillId="0" borderId="0" xfId="1" applyNumberFormat="1" applyFont="1" applyAlignment="1" applyProtection="1">
      <alignment wrapText="1"/>
      <protection hidden="1"/>
    </xf>
    <xf numFmtId="9" fontId="13" fillId="0" borderId="0" xfId="2" applyFont="1" applyAlignment="1" applyProtection="1">
      <alignment wrapText="1"/>
      <protection hidden="1"/>
    </xf>
    <xf numFmtId="0" fontId="13" fillId="7" borderId="7" xfId="2" applyNumberFormat="1" applyFont="1" applyFill="1" applyBorder="1" applyAlignment="1" applyProtection="1">
      <alignment horizontal="right" wrapText="1"/>
      <protection hidden="1"/>
    </xf>
    <xf numFmtId="0" fontId="13" fillId="6" borderId="11" xfId="2" applyNumberFormat="1" applyFont="1" applyFill="1" applyBorder="1" applyAlignment="1" applyProtection="1">
      <alignment horizontal="right" wrapText="1"/>
      <protection hidden="1"/>
    </xf>
    <xf numFmtId="0" fontId="11" fillId="3" borderId="12" xfId="1" applyFont="1" applyFill="1" applyBorder="1" applyAlignment="1" applyProtection="1">
      <alignment wrapText="1"/>
      <protection hidden="1"/>
    </xf>
    <xf numFmtId="9" fontId="13" fillId="0" borderId="0" xfId="1" applyNumberFormat="1" applyFont="1" applyAlignment="1" applyProtection="1">
      <alignment wrapText="1"/>
      <protection hidden="1"/>
    </xf>
    <xf numFmtId="0" fontId="13" fillId="7" borderId="0" xfId="0" applyNumberFormat="1" applyFont="1" applyFill="1" applyBorder="1" applyAlignment="1" applyProtection="1">
      <alignment horizontal="right" wrapText="1"/>
      <protection hidden="1"/>
    </xf>
    <xf numFmtId="3" fontId="13" fillId="7" borderId="0" xfId="0" applyNumberFormat="1" applyFont="1" applyFill="1" applyBorder="1" applyAlignment="1" applyProtection="1">
      <alignment horizontal="right" wrapText="1"/>
      <protection hidden="1"/>
    </xf>
    <xf numFmtId="9" fontId="13" fillId="7" borderId="0" xfId="0" applyNumberFormat="1" applyFont="1" applyFill="1" applyBorder="1" applyAlignment="1" applyProtection="1">
      <alignment horizontal="right" wrapText="1"/>
      <protection hidden="1"/>
    </xf>
    <xf numFmtId="3" fontId="13" fillId="7" borderId="0" xfId="0" applyNumberFormat="1" applyFont="1" applyFill="1" applyBorder="1" applyAlignment="1" applyProtection="1">
      <alignment wrapText="1"/>
      <protection hidden="1"/>
    </xf>
    <xf numFmtId="9" fontId="9" fillId="7" borderId="0" xfId="7" applyFont="1" applyFill="1" applyBorder="1" applyAlignment="1" applyProtection="1">
      <protection hidden="1"/>
    </xf>
    <xf numFmtId="0" fontId="13" fillId="0" borderId="0" xfId="1" applyFont="1" applyFill="1" applyAlignment="1" applyProtection="1">
      <alignment wrapText="1"/>
      <protection hidden="1"/>
    </xf>
    <xf numFmtId="9" fontId="13" fillId="0" borderId="0" xfId="1" applyNumberFormat="1" applyFont="1" applyFill="1" applyAlignment="1" applyProtection="1">
      <alignment wrapText="1"/>
      <protection hidden="1"/>
    </xf>
    <xf numFmtId="9" fontId="13" fillId="0" borderId="0" xfId="2" applyFont="1" applyFill="1" applyAlignment="1" applyProtection="1">
      <alignment wrapText="1"/>
      <protection hidden="1"/>
    </xf>
    <xf numFmtId="0" fontId="13" fillId="0" borderId="0" xfId="1" applyFont="1" applyAlignment="1" applyProtection="1">
      <alignment wrapText="1"/>
      <protection hidden="1"/>
    </xf>
    <xf numFmtId="0" fontId="28" fillId="0" borderId="0" xfId="1" applyFont="1" applyAlignment="1" applyProtection="1">
      <alignment wrapText="1"/>
      <protection hidden="1"/>
    </xf>
    <xf numFmtId="0" fontId="20" fillId="4" borderId="8" xfId="1" applyNumberFormat="1" applyFont="1" applyFill="1" applyBorder="1" applyAlignment="1" applyProtection="1">
      <alignment wrapText="1"/>
      <protection hidden="1"/>
    </xf>
    <xf numFmtId="0" fontId="13" fillId="4" borderId="9" xfId="1" applyNumberFormat="1" applyFont="1" applyFill="1" applyBorder="1" applyAlignment="1" applyProtection="1">
      <alignment horizontal="right" wrapText="1"/>
      <protection hidden="1"/>
    </xf>
    <xf numFmtId="0" fontId="13" fillId="4" borderId="6" xfId="1" applyNumberFormat="1" applyFont="1" applyFill="1" applyBorder="1" applyAlignment="1" applyProtection="1">
      <alignment horizontal="right" wrapText="1"/>
      <protection hidden="1"/>
    </xf>
    <xf numFmtId="0" fontId="13" fillId="0" borderId="10" xfId="1" applyNumberFormat="1" applyFont="1" applyBorder="1" applyAlignment="1" applyProtection="1">
      <alignment wrapText="1"/>
      <protection hidden="1"/>
    </xf>
    <xf numFmtId="165" fontId="13" fillId="0" borderId="0" xfId="6" applyNumberFormat="1" applyFont="1" applyBorder="1" applyAlignment="1" applyProtection="1">
      <alignment wrapText="1"/>
      <protection hidden="1"/>
    </xf>
    <xf numFmtId="165" fontId="13" fillId="0" borderId="7" xfId="6" applyNumberFormat="1" applyFont="1" applyBorder="1" applyAlignment="1" applyProtection="1">
      <alignment wrapText="1"/>
      <protection hidden="1"/>
    </xf>
    <xf numFmtId="0" fontId="13" fillId="4" borderId="10" xfId="1" applyNumberFormat="1" applyFont="1" applyFill="1" applyBorder="1" applyAlignment="1" applyProtection="1">
      <alignment wrapText="1"/>
      <protection hidden="1"/>
    </xf>
    <xf numFmtId="165" fontId="13" fillId="4" borderId="0" xfId="6" applyNumberFormat="1" applyFont="1" applyFill="1" applyBorder="1" applyAlignment="1" applyProtection="1">
      <alignment wrapText="1"/>
      <protection hidden="1"/>
    </xf>
    <xf numFmtId="165" fontId="13" fillId="4" borderId="7" xfId="6" applyNumberFormat="1" applyFont="1" applyFill="1" applyBorder="1" applyAlignment="1" applyProtection="1">
      <alignment wrapText="1"/>
      <protection hidden="1"/>
    </xf>
    <xf numFmtId="0" fontId="21" fillId="4" borderId="2" xfId="1" applyNumberFormat="1" applyFont="1" applyFill="1" applyBorder="1" applyAlignment="1" applyProtection="1">
      <alignment wrapText="1"/>
      <protection hidden="1"/>
    </xf>
    <xf numFmtId="0" fontId="20" fillId="0" borderId="8" xfId="1" applyNumberFormat="1" applyFont="1" applyBorder="1" applyAlignment="1" applyProtection="1">
      <alignment wrapText="1"/>
      <protection hidden="1"/>
    </xf>
    <xf numFmtId="0" fontId="13" fillId="0" borderId="9" xfId="1" applyNumberFormat="1" applyFont="1" applyBorder="1" applyAlignment="1" applyProtection="1">
      <alignment horizontal="right" wrapText="1"/>
      <protection hidden="1"/>
    </xf>
    <xf numFmtId="0" fontId="13" fillId="0" borderId="6" xfId="1" applyNumberFormat="1" applyFont="1" applyBorder="1" applyAlignment="1" applyProtection="1">
      <alignment horizontal="right" wrapText="1"/>
      <protection hidden="1"/>
    </xf>
    <xf numFmtId="0" fontId="13" fillId="4" borderId="0" xfId="0" applyNumberFormat="1" applyFont="1" applyFill="1" applyBorder="1" applyAlignment="1" applyProtection="1">
      <alignment wrapText="1"/>
      <protection hidden="1"/>
    </xf>
    <xf numFmtId="0" fontId="13" fillId="4" borderId="7" xfId="0" applyNumberFormat="1" applyFont="1" applyFill="1" applyBorder="1" applyAlignment="1" applyProtection="1">
      <alignment wrapText="1"/>
      <protection hidden="1"/>
    </xf>
    <xf numFmtId="0" fontId="13" fillId="0" borderId="0" xfId="0" applyNumberFormat="1" applyFont="1" applyBorder="1" applyAlignment="1" applyProtection="1">
      <alignment wrapText="1"/>
      <protection hidden="1"/>
    </xf>
    <xf numFmtId="0" fontId="13" fillId="0" borderId="7" xfId="0" applyNumberFormat="1" applyFont="1" applyBorder="1" applyAlignment="1" applyProtection="1">
      <alignment wrapText="1"/>
      <protection hidden="1"/>
    </xf>
    <xf numFmtId="0" fontId="21" fillId="0" borderId="2" xfId="1" applyNumberFormat="1" applyFont="1" applyBorder="1" applyAlignment="1" applyProtection="1">
      <alignment wrapText="1"/>
      <protection hidden="1"/>
    </xf>
    <xf numFmtId="0" fontId="13" fillId="4" borderId="7" xfId="1" applyNumberFormat="1" applyFont="1" applyFill="1" applyBorder="1" applyAlignment="1" applyProtection="1">
      <alignment horizontal="right" wrapText="1"/>
      <protection hidden="1"/>
    </xf>
    <xf numFmtId="0" fontId="13" fillId="0" borderId="0" xfId="7" applyNumberFormat="1" applyFont="1" applyBorder="1" applyAlignment="1" applyProtection="1">
      <alignment wrapText="1"/>
      <protection hidden="1"/>
    </xf>
    <xf numFmtId="0" fontId="13" fillId="0" borderId="0" xfId="0" applyNumberFormat="1" applyFont="1" applyBorder="1" applyProtection="1">
      <protection hidden="1"/>
    </xf>
    <xf numFmtId="0" fontId="13" fillId="4" borderId="0" xfId="7" applyNumberFormat="1" applyFont="1" applyFill="1" applyBorder="1" applyAlignment="1" applyProtection="1">
      <alignment wrapText="1"/>
      <protection hidden="1"/>
    </xf>
    <xf numFmtId="165" fontId="13" fillId="4" borderId="0" xfId="6" applyNumberFormat="1" applyFont="1" applyFill="1" applyBorder="1" applyAlignment="1" applyProtection="1">
      <alignment horizontal="right" wrapText="1"/>
      <protection hidden="1"/>
    </xf>
    <xf numFmtId="165" fontId="13" fillId="4" borderId="7" xfId="6" applyNumberFormat="1" applyFont="1" applyFill="1" applyBorder="1" applyAlignment="1" applyProtection="1">
      <alignment horizontal="right" wrapText="1"/>
      <protection hidden="1"/>
    </xf>
    <xf numFmtId="165" fontId="13" fillId="0" borderId="0" xfId="6" applyNumberFormat="1" applyFont="1" applyBorder="1" applyAlignment="1" applyProtection="1">
      <alignment horizontal="right" wrapText="1"/>
      <protection hidden="1"/>
    </xf>
    <xf numFmtId="165" fontId="13" fillId="0" borderId="7" xfId="6" applyNumberFormat="1" applyFont="1" applyBorder="1" applyAlignment="1" applyProtection="1">
      <alignment horizontal="right" wrapText="1"/>
      <protection hidden="1"/>
    </xf>
    <xf numFmtId="0" fontId="11" fillId="3" borderId="44" xfId="5" applyFont="1" applyFill="1" applyBorder="1" applyAlignment="1" applyProtection="1">
      <alignment horizontal="right" vertical="center" wrapText="1"/>
      <protection hidden="1"/>
    </xf>
    <xf numFmtId="0" fontId="11" fillId="3" borderId="45" xfId="5" applyFont="1" applyFill="1" applyBorder="1" applyAlignment="1" applyProtection="1">
      <alignment horizontal="right" vertical="center" wrapText="1"/>
      <protection hidden="1"/>
    </xf>
    <xf numFmtId="0" fontId="11" fillId="3" borderId="47" xfId="5" applyFont="1" applyFill="1" applyBorder="1" applyAlignment="1" applyProtection="1">
      <alignment horizontal="right" vertical="center" wrapText="1"/>
      <protection hidden="1"/>
    </xf>
    <xf numFmtId="0" fontId="22" fillId="3" borderId="0" xfId="1" applyFont="1" applyFill="1" applyBorder="1" applyAlignment="1" applyProtection="1">
      <alignment horizontal="right" wrapText="1"/>
      <protection hidden="1"/>
    </xf>
    <xf numFmtId="0" fontId="22" fillId="3" borderId="21" xfId="1" applyFont="1" applyFill="1" applyBorder="1" applyAlignment="1" applyProtection="1">
      <alignment horizontal="right" wrapText="1"/>
      <protection hidden="1"/>
    </xf>
    <xf numFmtId="0" fontId="9" fillId="0" borderId="20" xfId="1" applyFont="1" applyFill="1" applyBorder="1" applyProtection="1">
      <protection hidden="1"/>
    </xf>
    <xf numFmtId="0" fontId="9" fillId="0" borderId="0" xfId="1" applyFont="1" applyBorder="1" applyProtection="1">
      <protection hidden="1"/>
    </xf>
    <xf numFmtId="0" fontId="9" fillId="0" borderId="21" xfId="1" applyFont="1" applyBorder="1" applyProtection="1">
      <protection hidden="1"/>
    </xf>
    <xf numFmtId="0" fontId="9" fillId="0" borderId="48" xfId="1" applyFont="1" applyFill="1" applyBorder="1" applyProtection="1">
      <protection hidden="1"/>
    </xf>
    <xf numFmtId="0" fontId="9" fillId="0" borderId="12" xfId="1" applyFont="1" applyBorder="1" applyProtection="1">
      <protection hidden="1"/>
    </xf>
    <xf numFmtId="0" fontId="9" fillId="0" borderId="49" xfId="1" applyFont="1" applyBorder="1" applyProtection="1">
      <protection hidden="1"/>
    </xf>
    <xf numFmtId="0" fontId="11" fillId="3" borderId="12" xfId="1" applyFont="1" applyFill="1" applyBorder="1" applyAlignment="1" applyProtection="1">
      <alignment horizontal="right" wrapText="1"/>
      <protection hidden="1"/>
    </xf>
    <xf numFmtId="0" fontId="11" fillId="3" borderId="39" xfId="1" applyFont="1" applyFill="1" applyBorder="1" applyAlignment="1" applyProtection="1">
      <alignment horizontal="right" wrapText="1"/>
      <protection hidden="1"/>
    </xf>
    <xf numFmtId="9" fontId="13" fillId="4" borderId="0" xfId="1" applyNumberFormat="1" applyFont="1" applyFill="1" applyBorder="1" applyAlignment="1" applyProtection="1">
      <alignment horizontal="right" wrapText="1"/>
      <protection hidden="1"/>
    </xf>
    <xf numFmtId="3" fontId="13" fillId="4" borderId="10" xfId="1" applyNumberFormat="1" applyFont="1" applyFill="1" applyBorder="1" applyAlignment="1" applyProtection="1">
      <alignment horizontal="right" wrapText="1"/>
      <protection hidden="1"/>
    </xf>
    <xf numFmtId="9" fontId="13" fillId="0" borderId="0" xfId="1" applyNumberFormat="1" applyFont="1" applyBorder="1" applyAlignment="1" applyProtection="1">
      <alignment horizontal="right" wrapText="1"/>
      <protection hidden="1"/>
    </xf>
    <xf numFmtId="0" fontId="13" fillId="0" borderId="10" xfId="1" applyFont="1" applyBorder="1" applyAlignment="1" applyProtection="1">
      <alignment horizontal="right" wrapText="1"/>
      <protection hidden="1"/>
    </xf>
    <xf numFmtId="0" fontId="13" fillId="4" borderId="10" xfId="1" applyFont="1" applyFill="1" applyBorder="1" applyAlignment="1" applyProtection="1">
      <alignment horizontal="right" wrapText="1"/>
      <protection hidden="1"/>
    </xf>
    <xf numFmtId="0" fontId="0" fillId="7" borderId="0" xfId="0" applyFill="1" applyBorder="1" applyAlignment="1" applyProtection="1">
      <alignment horizontal="right"/>
      <protection hidden="1"/>
    </xf>
    <xf numFmtId="9" fontId="0" fillId="7" borderId="0" xfId="0" applyNumberFormat="1" applyFill="1" applyBorder="1" applyAlignment="1" applyProtection="1">
      <alignment horizontal="right"/>
      <protection hidden="1"/>
    </xf>
    <xf numFmtId="9" fontId="0" fillId="7" borderId="0" xfId="0" applyNumberFormat="1" applyFont="1" applyFill="1" applyBorder="1" applyAlignment="1" applyProtection="1">
      <alignment horizontal="right"/>
      <protection hidden="1"/>
    </xf>
    <xf numFmtId="0" fontId="29" fillId="0" borderId="0" xfId="0" applyFont="1" applyProtection="1">
      <protection hidden="1"/>
    </xf>
    <xf numFmtId="0" fontId="11" fillId="3" borderId="0" xfId="1" applyFont="1" applyFill="1" applyBorder="1" applyAlignment="1" applyProtection="1">
      <alignment horizontal="right" wrapText="1"/>
      <protection hidden="1"/>
    </xf>
    <xf numFmtId="0" fontId="13" fillId="4" borderId="18" xfId="1" applyNumberFormat="1" applyFont="1" applyFill="1" applyBorder="1" applyAlignment="1" applyProtection="1">
      <alignment horizontal="right" wrapText="1"/>
      <protection hidden="1"/>
    </xf>
    <xf numFmtId="0" fontId="13" fillId="4" borderId="5" xfId="1" applyNumberFormat="1" applyFont="1" applyFill="1" applyBorder="1" applyAlignment="1" applyProtection="1">
      <alignment horizontal="right" wrapText="1"/>
      <protection hidden="1"/>
    </xf>
    <xf numFmtId="0" fontId="13" fillId="4" borderId="5" xfId="2" applyNumberFormat="1" applyFont="1" applyFill="1" applyBorder="1" applyAlignment="1" applyProtection="1">
      <alignment horizontal="right" wrapText="1"/>
      <protection hidden="1"/>
    </xf>
    <xf numFmtId="0" fontId="13" fillId="0" borderId="20" xfId="1" applyNumberFormat="1" applyFont="1" applyBorder="1" applyAlignment="1" applyProtection="1">
      <alignment horizontal="right" wrapText="1"/>
      <protection hidden="1"/>
    </xf>
    <xf numFmtId="0" fontId="13" fillId="0" borderId="0" xfId="1" applyNumberFormat="1" applyFont="1" applyBorder="1" applyAlignment="1" applyProtection="1">
      <alignment horizontal="right" wrapText="1"/>
      <protection hidden="1"/>
    </xf>
    <xf numFmtId="0" fontId="13" fillId="0" borderId="0" xfId="2" applyNumberFormat="1" applyFont="1" applyBorder="1" applyAlignment="1" applyProtection="1">
      <alignment horizontal="right" wrapText="1"/>
      <protection hidden="1"/>
    </xf>
    <xf numFmtId="0" fontId="13" fillId="4" borderId="20" xfId="1" applyNumberFormat="1" applyFont="1" applyFill="1" applyBorder="1" applyAlignment="1" applyProtection="1">
      <alignment horizontal="right" wrapText="1"/>
      <protection hidden="1"/>
    </xf>
    <xf numFmtId="0" fontId="13" fillId="4" borderId="0" xfId="1" applyNumberFormat="1" applyFont="1" applyFill="1" applyBorder="1" applyAlignment="1" applyProtection="1">
      <alignment horizontal="right" wrapText="1"/>
      <protection hidden="1"/>
    </xf>
    <xf numFmtId="0" fontId="13" fillId="4" borderId="0" xfId="2" applyNumberFormat="1" applyFont="1" applyFill="1" applyBorder="1" applyAlignment="1" applyProtection="1">
      <alignment horizontal="right" wrapText="1"/>
      <protection hidden="1"/>
    </xf>
    <xf numFmtId="0" fontId="9" fillId="0" borderId="0" xfId="1" applyNumberFormat="1" applyFont="1" applyProtection="1">
      <protection hidden="1"/>
    </xf>
    <xf numFmtId="9" fontId="9" fillId="0" borderId="0" xfId="1" applyNumberFormat="1" applyFont="1" applyBorder="1" applyAlignment="1" applyProtection="1">
      <alignment horizontal="right" vertical="center" wrapText="1"/>
      <protection hidden="1"/>
    </xf>
    <xf numFmtId="9" fontId="13" fillId="4" borderId="0" xfId="1" applyNumberFormat="1" applyFont="1" applyFill="1" applyBorder="1" applyAlignment="1" applyProtection="1">
      <alignment wrapText="1"/>
      <protection hidden="1"/>
    </xf>
    <xf numFmtId="9" fontId="13" fillId="0" borderId="0" xfId="1" applyNumberFormat="1" applyFont="1" applyBorder="1" applyAlignment="1" applyProtection="1">
      <alignment wrapText="1"/>
      <protection hidden="1"/>
    </xf>
    <xf numFmtId="0" fontId="13" fillId="12" borderId="0" xfId="1" applyNumberFormat="1" applyFont="1" applyFill="1" applyBorder="1" applyAlignment="1" applyProtection="1">
      <alignment horizontal="right" wrapText="1"/>
      <protection hidden="1"/>
    </xf>
    <xf numFmtId="0" fontId="29" fillId="7" borderId="0" xfId="0" applyNumberFormat="1" applyFont="1" applyFill="1" applyBorder="1" applyProtection="1">
      <protection hidden="1"/>
    </xf>
    <xf numFmtId="3" fontId="29" fillId="7" borderId="0" xfId="0" applyNumberFormat="1" applyFont="1" applyFill="1" applyBorder="1" applyAlignment="1" applyProtection="1">
      <alignment horizontal="right"/>
      <protection hidden="1"/>
    </xf>
    <xf numFmtId="0" fontId="29" fillId="7" borderId="63" xfId="0" applyNumberFormat="1" applyFont="1" applyFill="1" applyBorder="1" applyAlignment="1" applyProtection="1">
      <alignment horizontal="right"/>
      <protection hidden="1"/>
    </xf>
    <xf numFmtId="0" fontId="29" fillId="7" borderId="9" xfId="0" applyNumberFormat="1" applyFont="1" applyFill="1" applyBorder="1" applyAlignment="1" applyProtection="1">
      <alignment horizontal="right"/>
      <protection hidden="1"/>
    </xf>
    <xf numFmtId="0" fontId="11" fillId="3" borderId="0" xfId="1" applyFont="1" applyFill="1" applyBorder="1" applyAlignment="1" applyProtection="1">
      <alignment wrapText="1"/>
      <protection hidden="1"/>
    </xf>
    <xf numFmtId="0" fontId="9" fillId="0" borderId="0" xfId="8" applyFont="1" applyBorder="1" applyAlignment="1" applyProtection="1">
      <alignment horizontal="left" vertical="center" wrapText="1"/>
      <protection hidden="1"/>
    </xf>
    <xf numFmtId="3" fontId="9" fillId="0" borderId="0" xfId="0" applyNumberFormat="1" applyFont="1" applyBorder="1" applyAlignment="1" applyProtection="1">
      <alignment horizontal="right" vertical="center"/>
      <protection hidden="1"/>
    </xf>
    <xf numFmtId="3" fontId="9" fillId="0" borderId="0" xfId="0" applyNumberFormat="1" applyFont="1" applyBorder="1" applyAlignment="1" applyProtection="1">
      <alignment vertical="center"/>
      <protection hidden="1"/>
    </xf>
    <xf numFmtId="0" fontId="9" fillId="0" borderId="0" xfId="9" applyFont="1" applyFill="1" applyBorder="1" applyAlignment="1" applyProtection="1">
      <alignment horizontal="left" vertical="center"/>
      <protection hidden="1"/>
    </xf>
    <xf numFmtId="0" fontId="18" fillId="7" borderId="9" xfId="1" applyNumberFormat="1" applyFont="1" applyFill="1" applyBorder="1" applyAlignment="1" applyProtection="1">
      <alignment horizontal="left" vertical="center" wrapText="1"/>
      <protection hidden="1"/>
    </xf>
    <xf numFmtId="0" fontId="18" fillId="7" borderId="9" xfId="1" applyNumberFormat="1" applyFont="1" applyFill="1" applyBorder="1" applyAlignment="1" applyProtection="1">
      <alignment horizontal="right" vertical="center"/>
      <protection hidden="1"/>
    </xf>
    <xf numFmtId="3" fontId="18" fillId="7" borderId="9" xfId="1" applyNumberFormat="1" applyFont="1" applyFill="1" applyBorder="1" applyAlignment="1" applyProtection="1">
      <alignment horizontal="right" vertical="center"/>
      <protection hidden="1"/>
    </xf>
    <xf numFmtId="9" fontId="18" fillId="7" borderId="9" xfId="1" applyNumberFormat="1" applyFont="1" applyFill="1" applyBorder="1" applyAlignment="1" applyProtection="1">
      <alignment horizontal="right" vertical="center" wrapText="1"/>
      <protection hidden="1"/>
    </xf>
    <xf numFmtId="3" fontId="18" fillId="7" borderId="9" xfId="1" applyNumberFormat="1" applyFont="1" applyFill="1" applyBorder="1" applyAlignment="1" applyProtection="1">
      <alignment horizontal="right" wrapText="1"/>
      <protection hidden="1"/>
    </xf>
    <xf numFmtId="0" fontId="9" fillId="0" borderId="0" xfId="1" applyFont="1" applyBorder="1" applyAlignment="1" applyProtection="1">
      <alignment wrapText="1"/>
      <protection hidden="1"/>
    </xf>
    <xf numFmtId="3" fontId="13" fillId="0" borderId="0" xfId="0" applyNumberFormat="1" applyFont="1" applyBorder="1" applyAlignment="1" applyProtection="1">
      <alignment wrapText="1"/>
      <protection hidden="1"/>
    </xf>
    <xf numFmtId="3" fontId="9" fillId="0" borderId="0" xfId="0" applyNumberFormat="1" applyFont="1" applyBorder="1" applyProtection="1">
      <protection hidden="1"/>
    </xf>
    <xf numFmtId="3" fontId="9" fillId="0" borderId="0" xfId="0" applyNumberFormat="1" applyFont="1" applyFill="1" applyBorder="1" applyAlignment="1" applyProtection="1">
      <alignment wrapText="1"/>
      <protection hidden="1"/>
    </xf>
    <xf numFmtId="0" fontId="11" fillId="3" borderId="50" xfId="1" applyFont="1" applyFill="1" applyBorder="1" applyAlignment="1" applyProtection="1">
      <alignment wrapText="1"/>
      <protection hidden="1"/>
    </xf>
    <xf numFmtId="0" fontId="11" fillId="3" borderId="19" xfId="1" applyFont="1" applyFill="1" applyBorder="1" applyAlignment="1" applyProtection="1">
      <alignment wrapText="1"/>
      <protection hidden="1"/>
    </xf>
    <xf numFmtId="0" fontId="13" fillId="4" borderId="20" xfId="0" applyNumberFormat="1" applyFont="1" applyFill="1" applyBorder="1" applyAlignment="1" applyProtection="1">
      <alignment wrapText="1"/>
      <protection hidden="1"/>
    </xf>
    <xf numFmtId="0" fontId="13" fillId="4" borderId="0" xfId="0" applyFont="1" applyFill="1" applyBorder="1" applyAlignment="1" applyProtection="1">
      <alignment wrapText="1"/>
      <protection hidden="1"/>
    </xf>
    <xf numFmtId="0" fontId="13" fillId="4" borderId="61" xfId="0" applyFont="1" applyFill="1" applyBorder="1" applyAlignment="1" applyProtection="1">
      <alignment wrapText="1"/>
      <protection hidden="1"/>
    </xf>
    <xf numFmtId="9" fontId="13" fillId="0" borderId="20" xfId="0" applyNumberFormat="1" applyFont="1" applyBorder="1" applyAlignment="1" applyProtection="1">
      <alignment wrapText="1"/>
      <protection hidden="1"/>
    </xf>
    <xf numFmtId="0" fontId="13" fillId="0" borderId="0" xfId="0" applyFont="1" applyBorder="1" applyAlignment="1" applyProtection="1">
      <alignment wrapText="1"/>
      <protection hidden="1"/>
    </xf>
    <xf numFmtId="0" fontId="13" fillId="0" borderId="62" xfId="0" applyFont="1" applyBorder="1" applyAlignment="1" applyProtection="1">
      <alignment wrapText="1"/>
      <protection hidden="1"/>
    </xf>
    <xf numFmtId="9" fontId="13" fillId="4" borderId="20" xfId="0" applyNumberFormat="1" applyFont="1" applyFill="1" applyBorder="1" applyAlignment="1" applyProtection="1">
      <alignment wrapText="1"/>
      <protection hidden="1"/>
    </xf>
    <xf numFmtId="0" fontId="13" fillId="4" borderId="62" xfId="0" applyFont="1" applyFill="1" applyBorder="1" applyAlignment="1" applyProtection="1">
      <alignment wrapText="1"/>
      <protection hidden="1"/>
    </xf>
    <xf numFmtId="0" fontId="13" fillId="0" borderId="20" xfId="0" applyNumberFormat="1" applyFont="1" applyBorder="1" applyAlignment="1" applyProtection="1">
      <alignment wrapText="1"/>
      <protection hidden="1"/>
    </xf>
    <xf numFmtId="0" fontId="13" fillId="6" borderId="63" xfId="0" applyFont="1" applyFill="1" applyBorder="1" applyAlignment="1" applyProtection="1">
      <alignment wrapText="1"/>
      <protection hidden="1"/>
    </xf>
    <xf numFmtId="165" fontId="13" fillId="6" borderId="61" xfId="4" applyNumberFormat="1" applyFont="1" applyFill="1" applyBorder="1" applyAlignment="1" applyProtection="1">
      <alignment horizontal="right" wrapText="1"/>
      <protection hidden="1"/>
    </xf>
    <xf numFmtId="0" fontId="13" fillId="7" borderId="20" xfId="0" applyFont="1" applyFill="1" applyBorder="1" applyAlignment="1" applyProtection="1">
      <alignment wrapText="1"/>
      <protection hidden="1"/>
    </xf>
    <xf numFmtId="165" fontId="13" fillId="7" borderId="62" xfId="4" applyNumberFormat="1" applyFont="1" applyFill="1" applyBorder="1" applyAlignment="1" applyProtection="1">
      <alignment horizontal="right" wrapText="1"/>
      <protection hidden="1"/>
    </xf>
    <xf numFmtId="0" fontId="13" fillId="6" borderId="48" xfId="0" applyFont="1" applyFill="1" applyBorder="1" applyAlignment="1" applyProtection="1">
      <alignment wrapText="1"/>
      <protection hidden="1"/>
    </xf>
    <xf numFmtId="165" fontId="13" fillId="6" borderId="12" xfId="4" applyNumberFormat="1" applyFont="1" applyFill="1" applyBorder="1" applyAlignment="1" applyProtection="1">
      <alignment horizontal="right" wrapText="1"/>
      <protection hidden="1"/>
    </xf>
    <xf numFmtId="165" fontId="13" fillId="6" borderId="64" xfId="4" applyNumberFormat="1" applyFont="1" applyFill="1" applyBorder="1" applyAlignment="1" applyProtection="1">
      <alignment horizontal="right" wrapText="1"/>
      <protection hidden="1"/>
    </xf>
    <xf numFmtId="0" fontId="13" fillId="6" borderId="0" xfId="0" applyFont="1" applyFill="1" applyBorder="1" applyAlignment="1" applyProtection="1">
      <alignment wrapText="1"/>
      <protection hidden="1"/>
    </xf>
    <xf numFmtId="0" fontId="65" fillId="0" borderId="0" xfId="27" applyProtection="1">
      <protection hidden="1"/>
    </xf>
    <xf numFmtId="0" fontId="65" fillId="0" borderId="0" xfId="27"/>
    <xf numFmtId="3" fontId="12" fillId="0" borderId="0" xfId="1" applyNumberFormat="1" applyFont="1" applyBorder="1" applyAlignment="1" applyProtection="1">
      <alignment horizontal="right" vertical="center"/>
      <protection hidden="1"/>
    </xf>
    <xf numFmtId="9" fontId="9" fillId="0" borderId="0" xfId="1" applyNumberFormat="1" applyBorder="1" applyAlignment="1" applyProtection="1">
      <alignment horizontal="right" wrapText="1"/>
      <protection hidden="1"/>
    </xf>
    <xf numFmtId="9" fontId="13" fillId="0" borderId="0" xfId="1" applyNumberFormat="1" applyFont="1" applyFill="1" applyBorder="1" applyAlignment="1" applyProtection="1">
      <alignment horizontal="right" wrapText="1"/>
      <protection hidden="1"/>
    </xf>
    <xf numFmtId="3" fontId="18" fillId="7" borderId="29" xfId="1" applyNumberFormat="1" applyFont="1" applyFill="1" applyBorder="1" applyAlignment="1" applyProtection="1">
      <alignment horizontal="right"/>
      <protection hidden="1"/>
    </xf>
    <xf numFmtId="9" fontId="18" fillId="7" borderId="29" xfId="1" applyNumberFormat="1" applyFont="1" applyFill="1" applyBorder="1" applyAlignment="1" applyProtection="1">
      <alignment horizontal="right" wrapText="1"/>
      <protection hidden="1"/>
    </xf>
    <xf numFmtId="0" fontId="17" fillId="4" borderId="20" xfId="1" applyNumberFormat="1" applyFont="1" applyFill="1" applyBorder="1" applyAlignment="1" applyProtection="1">
      <alignment wrapText="1"/>
      <protection hidden="1"/>
    </xf>
    <xf numFmtId="0" fontId="13" fillId="4" borderId="61" xfId="1" applyFont="1" applyFill="1" applyBorder="1" applyAlignment="1" applyProtection="1">
      <alignment horizontal="right" wrapText="1"/>
      <protection hidden="1"/>
    </xf>
    <xf numFmtId="0" fontId="17" fillId="0" borderId="20" xfId="1" applyNumberFormat="1" applyFont="1" applyBorder="1" applyAlignment="1" applyProtection="1">
      <alignment wrapText="1"/>
      <protection hidden="1"/>
    </xf>
    <xf numFmtId="0" fontId="13" fillId="0" borderId="62" xfId="1" applyFont="1" applyBorder="1" applyAlignment="1" applyProtection="1">
      <alignment horizontal="right" wrapText="1"/>
      <protection hidden="1"/>
    </xf>
    <xf numFmtId="0" fontId="13" fillId="4" borderId="62" xfId="1" applyFont="1" applyFill="1" applyBorder="1" applyAlignment="1" applyProtection="1">
      <alignment horizontal="right" wrapText="1"/>
      <protection hidden="1"/>
    </xf>
    <xf numFmtId="0" fontId="13" fillId="6" borderId="63" xfId="1" applyFont="1" applyFill="1" applyBorder="1" applyAlignment="1" applyProtection="1">
      <alignment wrapText="1"/>
      <protection hidden="1"/>
    </xf>
    <xf numFmtId="0" fontId="13" fillId="7" borderId="20" xfId="1" applyFont="1" applyFill="1" applyBorder="1" applyAlignment="1" applyProtection="1">
      <alignment wrapText="1"/>
      <protection hidden="1"/>
    </xf>
    <xf numFmtId="0" fontId="13" fillId="6" borderId="48" xfId="1" applyFont="1" applyFill="1" applyBorder="1" applyAlignment="1" applyProtection="1">
      <alignment wrapText="1"/>
      <protection hidden="1"/>
    </xf>
    <xf numFmtId="9" fontId="13" fillId="6" borderId="12" xfId="2" applyFont="1" applyFill="1" applyBorder="1" applyAlignment="1" applyProtection="1">
      <alignment horizontal="right" wrapText="1"/>
      <protection hidden="1"/>
    </xf>
    <xf numFmtId="0" fontId="0" fillId="7" borderId="14" xfId="0" applyNumberFormat="1" applyFill="1" applyBorder="1" applyAlignment="1" applyProtection="1">
      <alignment horizontal="right"/>
      <protection hidden="1"/>
    </xf>
    <xf numFmtId="0" fontId="0" fillId="7" borderId="14" xfId="0" applyFill="1" applyBorder="1" applyAlignment="1" applyProtection="1">
      <alignment horizontal="right"/>
      <protection hidden="1"/>
    </xf>
    <xf numFmtId="0" fontId="38" fillId="0" borderId="0" xfId="13" applyAlignment="1">
      <alignment horizontal="center"/>
    </xf>
    <xf numFmtId="0" fontId="38" fillId="0" borderId="0" xfId="13" applyAlignment="1">
      <alignment horizontal="left"/>
    </xf>
    <xf numFmtId="49" fontId="65" fillId="0" borderId="0" xfId="27" applyNumberFormat="1" applyAlignment="1">
      <alignment horizontal="center"/>
    </xf>
    <xf numFmtId="0" fontId="63" fillId="2" borderId="0" xfId="28" applyFont="1" applyFill="1"/>
    <xf numFmtId="0" fontId="39" fillId="0" borderId="0" xfId="12" applyFont="1" applyAlignment="1">
      <alignment horizontal="left"/>
    </xf>
    <xf numFmtId="0" fontId="65" fillId="0" borderId="0" xfId="27" applyFont="1" applyAlignment="1">
      <alignment horizontal="right"/>
    </xf>
    <xf numFmtId="0" fontId="23" fillId="0" borderId="0" xfId="0" applyFont="1"/>
    <xf numFmtId="0" fontId="36" fillId="0" borderId="0" xfId="28" applyFont="1" applyAlignment="1">
      <alignment horizontal="justify" vertical="top" wrapText="1"/>
    </xf>
    <xf numFmtId="0" fontId="23" fillId="0" borderId="0" xfId="0" applyFont="1" applyAlignment="1">
      <alignment horizontal="justify" vertical="top" wrapText="1"/>
    </xf>
    <xf numFmtId="0" fontId="36" fillId="0" borderId="0" xfId="28" applyFont="1" applyAlignment="1">
      <alignment vertical="center" wrapText="1"/>
    </xf>
    <xf numFmtId="0" fontId="36" fillId="0" borderId="0" xfId="28" applyFont="1" applyAlignment="1">
      <alignment horizontal="left" vertical="top" wrapText="1" indent="2"/>
    </xf>
    <xf numFmtId="0" fontId="36" fillId="0" borderId="0" xfId="28" applyFont="1" applyAlignment="1">
      <alignment horizontal="left" vertical="top" wrapText="1" indent="4"/>
    </xf>
    <xf numFmtId="0" fontId="65" fillId="0" borderId="0" xfId="27" applyAlignment="1">
      <alignment horizontal="right"/>
    </xf>
    <xf numFmtId="9" fontId="21" fillId="4" borderId="2" xfId="2" applyFont="1" applyFill="1" applyBorder="1" applyAlignment="1" applyProtection="1">
      <alignment horizontal="right" wrapText="1"/>
      <protection hidden="1"/>
    </xf>
    <xf numFmtId="9" fontId="21" fillId="9" borderId="2" xfId="2" applyFont="1" applyFill="1" applyBorder="1" applyAlignment="1" applyProtection="1">
      <alignment horizontal="right" wrapText="1"/>
      <protection hidden="1"/>
    </xf>
    <xf numFmtId="9" fontId="21" fillId="0" borderId="2" xfId="2" applyFont="1" applyFill="1" applyBorder="1" applyAlignment="1" applyProtection="1">
      <alignment horizontal="right" wrapText="1"/>
      <protection hidden="1"/>
    </xf>
    <xf numFmtId="9" fontId="21" fillId="4" borderId="4" xfId="2" applyFont="1" applyFill="1" applyBorder="1" applyAlignment="1" applyProtection="1">
      <alignment horizontal="right" wrapText="1"/>
      <protection hidden="1"/>
    </xf>
    <xf numFmtId="0" fontId="13" fillId="0" borderId="10" xfId="1" applyNumberFormat="1" applyFont="1" applyBorder="1" applyAlignment="1" applyProtection="1">
      <alignment horizontal="right" wrapText="1"/>
      <protection hidden="1"/>
    </xf>
    <xf numFmtId="0" fontId="13" fillId="4" borderId="10" xfId="1" applyNumberFormat="1" applyFont="1" applyFill="1" applyBorder="1" applyAlignment="1" applyProtection="1">
      <alignment horizontal="right" wrapText="1"/>
      <protection hidden="1"/>
    </xf>
    <xf numFmtId="0" fontId="9" fillId="0" borderId="0" xfId="1" applyNumberFormat="1" applyFont="1" applyBorder="1" applyAlignment="1" applyProtection="1">
      <alignment wrapText="1"/>
      <protection hidden="1"/>
    </xf>
    <xf numFmtId="0" fontId="9" fillId="3" borderId="73" xfId="1" applyFont="1" applyFill="1" applyBorder="1" applyProtection="1">
      <protection hidden="1"/>
    </xf>
    <xf numFmtId="0" fontId="22" fillId="3" borderId="12" xfId="1" applyFont="1" applyFill="1" applyBorder="1" applyAlignment="1" applyProtection="1">
      <alignment horizontal="right" wrapText="1"/>
      <protection hidden="1"/>
    </xf>
    <xf numFmtId="0" fontId="22" fillId="3" borderId="108" xfId="1" applyFont="1" applyFill="1" applyBorder="1" applyAlignment="1" applyProtection="1">
      <alignment horizontal="right" wrapText="1"/>
      <protection hidden="1"/>
    </xf>
    <xf numFmtId="0" fontId="22" fillId="3" borderId="49" xfId="1" applyFont="1" applyFill="1" applyBorder="1" applyAlignment="1" applyProtection="1">
      <alignment horizontal="right" wrapText="1"/>
      <protection hidden="1"/>
    </xf>
    <xf numFmtId="0" fontId="45" fillId="0" borderId="0" xfId="12" applyFont="1" applyProtection="1">
      <protection hidden="1"/>
    </xf>
    <xf numFmtId="0" fontId="23" fillId="0" borderId="0" xfId="19" applyProtection="1">
      <protection hidden="1"/>
    </xf>
    <xf numFmtId="0" fontId="9" fillId="0" borderId="0" xfId="1" applyAlignment="1" applyProtection="1">
      <alignment wrapText="1"/>
      <protection hidden="1"/>
    </xf>
    <xf numFmtId="0" fontId="58" fillId="3" borderId="0" xfId="12" applyFont="1" applyFill="1" applyBorder="1" applyProtection="1">
      <protection hidden="1"/>
    </xf>
    <xf numFmtId="0" fontId="67" fillId="0" borderId="0" xfId="12" applyFont="1" applyProtection="1">
      <protection hidden="1"/>
    </xf>
    <xf numFmtId="0" fontId="10" fillId="10" borderId="0" xfId="1" applyFont="1" applyFill="1" applyProtection="1">
      <protection hidden="1"/>
    </xf>
    <xf numFmtId="0" fontId="10" fillId="2" borderId="0" xfId="1" applyFont="1" applyFill="1" applyProtection="1">
      <protection hidden="1"/>
    </xf>
    <xf numFmtId="0" fontId="10" fillId="0" borderId="0" xfId="1" applyFont="1" applyProtection="1">
      <protection hidden="1"/>
    </xf>
    <xf numFmtId="0" fontId="75" fillId="0" borderId="0" xfId="12" applyFont="1" applyProtection="1">
      <protection hidden="1"/>
    </xf>
    <xf numFmtId="0" fontId="45" fillId="0" borderId="0" xfId="12" applyFont="1" applyAlignment="1" applyProtection="1">
      <alignment horizontal="right" wrapText="1"/>
      <protection hidden="1"/>
    </xf>
    <xf numFmtId="0" fontId="11" fillId="3" borderId="12" xfId="1" applyNumberFormat="1" applyFont="1" applyFill="1" applyBorder="1" applyAlignment="1" applyProtection="1">
      <alignment horizontal="left" wrapText="1"/>
      <protection hidden="1"/>
    </xf>
    <xf numFmtId="0" fontId="11" fillId="3" borderId="12" xfId="1" applyNumberFormat="1" applyFont="1" applyFill="1" applyBorder="1" applyAlignment="1" applyProtection="1">
      <alignment horizontal="right" wrapText="1"/>
      <protection hidden="1"/>
    </xf>
    <xf numFmtId="0" fontId="13" fillId="0" borderId="0" xfId="12" applyFont="1" applyBorder="1" applyProtection="1">
      <protection hidden="1"/>
    </xf>
    <xf numFmtId="167" fontId="13" fillId="0" borderId="0" xfId="14" applyNumberFormat="1" applyFont="1" applyBorder="1" applyAlignment="1" applyProtection="1">
      <alignment horizontal="right"/>
      <protection hidden="1"/>
    </xf>
    <xf numFmtId="0" fontId="13" fillId="0" borderId="0" xfId="12" applyFont="1" applyBorder="1" applyAlignment="1" applyProtection="1">
      <alignment horizontal="right"/>
      <protection hidden="1"/>
    </xf>
    <xf numFmtId="3" fontId="13" fillId="0" borderId="0" xfId="14" applyNumberFormat="1" applyFont="1" applyBorder="1" applyAlignment="1" applyProtection="1">
      <alignment horizontal="right"/>
      <protection hidden="1"/>
    </xf>
    <xf numFmtId="9" fontId="13" fillId="0" borderId="0" xfId="7" applyFont="1" applyBorder="1" applyAlignment="1" applyProtection="1">
      <alignment horizontal="right"/>
      <protection hidden="1"/>
    </xf>
    <xf numFmtId="0" fontId="68" fillId="0" borderId="0" xfId="12" applyFont="1" applyProtection="1">
      <protection hidden="1"/>
    </xf>
    <xf numFmtId="0" fontId="9" fillId="0" borderId="0" xfId="12" applyFont="1" applyBorder="1" applyProtection="1">
      <protection hidden="1"/>
    </xf>
    <xf numFmtId="167" fontId="9" fillId="0" borderId="0" xfId="14" applyNumberFormat="1" applyFont="1" applyBorder="1" applyAlignment="1" applyProtection="1">
      <alignment horizontal="right"/>
      <protection hidden="1"/>
    </xf>
    <xf numFmtId="166" fontId="9" fillId="0" borderId="0" xfId="12" applyNumberFormat="1" applyFont="1" applyBorder="1" applyAlignment="1" applyProtection="1">
      <alignment horizontal="right"/>
      <protection hidden="1"/>
    </xf>
    <xf numFmtId="166" fontId="13" fillId="0" borderId="0" xfId="12" applyNumberFormat="1" applyFont="1" applyBorder="1" applyAlignment="1" applyProtection="1">
      <alignment horizontal="right"/>
      <protection hidden="1"/>
    </xf>
    <xf numFmtId="0" fontId="26" fillId="0" borderId="0" xfId="12" applyFont="1" applyFill="1" applyBorder="1" applyProtection="1">
      <protection hidden="1"/>
    </xf>
    <xf numFmtId="0" fontId="66" fillId="0" borderId="0" xfId="12" applyFont="1" applyProtection="1">
      <protection hidden="1"/>
    </xf>
    <xf numFmtId="0" fontId="58" fillId="0" borderId="0" xfId="12" applyFont="1" applyFill="1" applyAlignment="1" applyProtection="1">
      <alignment horizontal="right" textRotation="90" wrapText="1"/>
      <protection hidden="1"/>
    </xf>
    <xf numFmtId="0" fontId="58" fillId="3" borderId="18" xfId="12" applyFont="1" applyFill="1" applyBorder="1" applyAlignment="1" applyProtection="1">
      <alignment horizontal="left"/>
      <protection hidden="1"/>
    </xf>
    <xf numFmtId="0" fontId="58" fillId="3" borderId="5" xfId="12" applyFont="1" applyFill="1" applyBorder="1" applyAlignment="1" applyProtection="1">
      <alignment horizontal="right"/>
      <protection hidden="1"/>
    </xf>
    <xf numFmtId="0" fontId="58" fillId="3" borderId="5" xfId="12" applyFont="1" applyFill="1" applyBorder="1" applyAlignment="1" applyProtection="1">
      <alignment wrapText="1"/>
      <protection hidden="1"/>
    </xf>
    <xf numFmtId="0" fontId="58" fillId="3" borderId="19" xfId="12" applyFont="1" applyFill="1" applyBorder="1" applyAlignment="1" applyProtection="1">
      <alignment horizontal="right" wrapText="1"/>
      <protection hidden="1"/>
    </xf>
    <xf numFmtId="0" fontId="9" fillId="0" borderId="63" xfId="11" applyFont="1" applyFill="1" applyBorder="1" applyAlignment="1" applyProtection="1">
      <alignment vertical="center" wrapText="1"/>
      <protection hidden="1"/>
    </xf>
    <xf numFmtId="167" fontId="9" fillId="0" borderId="9" xfId="14" applyNumberFormat="1" applyFont="1" applyFill="1" applyBorder="1" applyProtection="1">
      <protection hidden="1"/>
    </xf>
    <xf numFmtId="166" fontId="13" fillId="0" borderId="9" xfId="12" applyNumberFormat="1" applyFont="1" applyFill="1" applyBorder="1" applyProtection="1">
      <protection hidden="1"/>
    </xf>
    <xf numFmtId="166" fontId="13" fillId="0" borderId="77" xfId="12" applyNumberFormat="1" applyFont="1" applyFill="1" applyBorder="1" applyProtection="1">
      <protection hidden="1"/>
    </xf>
    <xf numFmtId="0" fontId="9" fillId="0" borderId="20" xfId="11" applyFont="1" applyFill="1" applyBorder="1" applyAlignment="1" applyProtection="1">
      <alignment vertical="center" wrapText="1"/>
      <protection hidden="1"/>
    </xf>
    <xf numFmtId="167" fontId="9" fillId="0" borderId="0" xfId="14" applyNumberFormat="1" applyFont="1" applyFill="1" applyBorder="1" applyProtection="1">
      <protection hidden="1"/>
    </xf>
    <xf numFmtId="166" fontId="13" fillId="0" borderId="0" xfId="12" applyNumberFormat="1" applyFont="1" applyFill="1" applyBorder="1" applyProtection="1">
      <protection hidden="1"/>
    </xf>
    <xf numFmtId="166" fontId="13" fillId="0" borderId="21" xfId="12" applyNumberFormat="1" applyFont="1" applyFill="1" applyBorder="1" applyProtection="1">
      <protection hidden="1"/>
    </xf>
    <xf numFmtId="0" fontId="9" fillId="14" borderId="20" xfId="11" applyFont="1" applyFill="1" applyBorder="1" applyAlignment="1" applyProtection="1">
      <alignment vertical="center" wrapText="1"/>
      <protection hidden="1"/>
    </xf>
    <xf numFmtId="167" fontId="9" fillId="14" borderId="0" xfId="14" applyNumberFormat="1" applyFont="1" applyFill="1" applyBorder="1" applyProtection="1">
      <protection hidden="1"/>
    </xf>
    <xf numFmtId="166" fontId="13" fillId="14" borderId="0" xfId="12" applyNumberFormat="1" applyFont="1" applyFill="1" applyBorder="1" applyProtection="1">
      <protection hidden="1"/>
    </xf>
    <xf numFmtId="167" fontId="13" fillId="14" borderId="0" xfId="14" applyNumberFormat="1" applyFont="1" applyFill="1" applyBorder="1" applyProtection="1">
      <protection hidden="1"/>
    </xf>
    <xf numFmtId="166" fontId="13" fillId="14" borderId="21" xfId="12" applyNumberFormat="1" applyFont="1" applyFill="1" applyBorder="1" applyProtection="1">
      <protection hidden="1"/>
    </xf>
    <xf numFmtId="0" fontId="9" fillId="5" borderId="48" xfId="11" applyFont="1" applyFill="1" applyBorder="1" applyAlignment="1" applyProtection="1">
      <alignment vertical="center" wrapText="1"/>
      <protection hidden="1"/>
    </xf>
    <xf numFmtId="167" fontId="9" fillId="5" borderId="12" xfId="14" applyNumberFormat="1" applyFont="1" applyFill="1" applyBorder="1" applyProtection="1">
      <protection hidden="1"/>
    </xf>
    <xf numFmtId="167" fontId="13" fillId="5" borderId="12" xfId="14" applyNumberFormat="1" applyFont="1" applyFill="1" applyBorder="1" applyAlignment="1" applyProtection="1">
      <protection hidden="1"/>
    </xf>
    <xf numFmtId="166" fontId="13" fillId="5" borderId="12" xfId="12" applyNumberFormat="1" applyFont="1" applyFill="1" applyBorder="1" applyProtection="1">
      <protection hidden="1"/>
    </xf>
    <xf numFmtId="166" fontId="13" fillId="5" borderId="49" xfId="12" applyNumberFormat="1" applyFont="1" applyFill="1" applyBorder="1" applyProtection="1">
      <protection hidden="1"/>
    </xf>
    <xf numFmtId="0" fontId="9" fillId="0" borderId="0" xfId="10" applyNumberFormat="1" applyFont="1" applyFill="1" applyProtection="1">
      <protection hidden="1"/>
    </xf>
    <xf numFmtId="0" fontId="45" fillId="0" borderId="0" xfId="12" applyFont="1" applyFill="1" applyProtection="1">
      <protection hidden="1"/>
    </xf>
    <xf numFmtId="0" fontId="66" fillId="0" borderId="0" xfId="12" applyFont="1" applyFill="1" applyProtection="1">
      <protection hidden="1"/>
    </xf>
    <xf numFmtId="0" fontId="58" fillId="3" borderId="0" xfId="12" applyFont="1" applyFill="1" applyBorder="1" applyAlignment="1" applyProtection="1">
      <alignment horizontal="right"/>
      <protection hidden="1"/>
    </xf>
    <xf numFmtId="0" fontId="9" fillId="0" borderId="9" xfId="11" applyFont="1" applyFill="1" applyBorder="1" applyAlignment="1" applyProtection="1">
      <alignment vertical="center" wrapText="1"/>
      <protection hidden="1"/>
    </xf>
    <xf numFmtId="0" fontId="9" fillId="0" borderId="9" xfId="10" applyNumberFormat="1" applyFont="1" applyFill="1" applyBorder="1" applyProtection="1">
      <protection hidden="1"/>
    </xf>
    <xf numFmtId="167" fontId="69" fillId="0" borderId="9" xfId="14" applyNumberFormat="1" applyFont="1" applyFill="1" applyBorder="1" applyProtection="1">
      <protection hidden="1"/>
    </xf>
    <xf numFmtId="0" fontId="9" fillId="0" borderId="0" xfId="11" applyFont="1" applyFill="1" applyBorder="1" applyAlignment="1" applyProtection="1">
      <alignment vertical="center" wrapText="1"/>
      <protection hidden="1"/>
    </xf>
    <xf numFmtId="167" fontId="69" fillId="0" borderId="0" xfId="14" applyNumberFormat="1" applyFont="1" applyFill="1" applyBorder="1" applyProtection="1">
      <protection hidden="1"/>
    </xf>
    <xf numFmtId="0" fontId="13" fillId="5" borderId="10" xfId="12" applyFont="1" applyFill="1" applyBorder="1" applyProtection="1">
      <protection hidden="1"/>
    </xf>
    <xf numFmtId="3" fontId="13" fillId="5" borderId="0" xfId="12" applyNumberFormat="1" applyFont="1" applyFill="1" applyBorder="1" applyProtection="1">
      <protection hidden="1"/>
    </xf>
    <xf numFmtId="167" fontId="13" fillId="5" borderId="16" xfId="14" applyNumberFormat="1" applyFont="1" applyFill="1" applyBorder="1" applyProtection="1">
      <protection hidden="1"/>
    </xf>
    <xf numFmtId="0" fontId="13" fillId="5" borderId="2" xfId="12" applyFont="1" applyFill="1" applyBorder="1" applyProtection="1">
      <protection hidden="1"/>
    </xf>
    <xf numFmtId="3" fontId="13" fillId="5" borderId="3" xfId="12" applyNumberFormat="1" applyFont="1" applyFill="1" applyBorder="1" applyProtection="1">
      <protection hidden="1"/>
    </xf>
    <xf numFmtId="167" fontId="13" fillId="5" borderId="4" xfId="14" applyNumberFormat="1" applyFont="1" applyFill="1" applyBorder="1" applyProtection="1">
      <protection hidden="1"/>
    </xf>
    <xf numFmtId="0" fontId="70" fillId="0" borderId="0" xfId="12" applyFont="1" applyProtection="1">
      <protection hidden="1"/>
    </xf>
    <xf numFmtId="3" fontId="45" fillId="0" borderId="0" xfId="12" applyNumberFormat="1" applyFont="1" applyFill="1" applyBorder="1" applyProtection="1">
      <protection hidden="1"/>
    </xf>
    <xf numFmtId="167" fontId="45" fillId="0" borderId="0" xfId="14" applyNumberFormat="1" applyFont="1" applyFill="1" applyBorder="1" applyProtection="1">
      <protection hidden="1"/>
    </xf>
    <xf numFmtId="0" fontId="58" fillId="3" borderId="3" xfId="12" applyFont="1" applyFill="1" applyBorder="1" applyAlignment="1" applyProtection="1">
      <alignment horizontal="right"/>
      <protection hidden="1"/>
    </xf>
    <xf numFmtId="166" fontId="9" fillId="0" borderId="9" xfId="10" applyNumberFormat="1" applyFont="1" applyFill="1" applyBorder="1" applyProtection="1">
      <protection hidden="1"/>
    </xf>
    <xf numFmtId="166" fontId="9" fillId="0" borderId="0" xfId="10" applyNumberFormat="1" applyFont="1" applyFill="1" applyBorder="1" applyProtection="1">
      <protection hidden="1"/>
    </xf>
    <xf numFmtId="166" fontId="13" fillId="5" borderId="0" xfId="12" applyNumberFormat="1" applyFont="1" applyFill="1" applyBorder="1" applyProtection="1">
      <protection hidden="1"/>
    </xf>
    <xf numFmtId="166" fontId="13" fillId="5" borderId="3" xfId="12" applyNumberFormat="1" applyFont="1" applyFill="1" applyBorder="1" applyProtection="1">
      <protection hidden="1"/>
    </xf>
    <xf numFmtId="0" fontId="58" fillId="3" borderId="3" xfId="12" applyFont="1" applyFill="1" applyBorder="1" applyAlignment="1" applyProtection="1">
      <alignment horizontal="right" wrapText="1"/>
      <protection hidden="1"/>
    </xf>
    <xf numFmtId="0" fontId="9" fillId="0" borderId="0" xfId="15" applyNumberFormat="1" applyFont="1" applyFill="1" applyProtection="1">
      <protection hidden="1"/>
    </xf>
    <xf numFmtId="0" fontId="9" fillId="5" borderId="2" xfId="11" applyFont="1" applyFill="1" applyBorder="1" applyAlignment="1" applyProtection="1">
      <alignment vertical="center" wrapText="1"/>
      <protection hidden="1"/>
    </xf>
    <xf numFmtId="167" fontId="9" fillId="5" borderId="3" xfId="14" applyNumberFormat="1" applyFont="1" applyFill="1" applyBorder="1" applyProtection="1">
      <protection hidden="1"/>
    </xf>
    <xf numFmtId="167" fontId="9" fillId="5" borderId="4" xfId="14" applyNumberFormat="1" applyFont="1" applyFill="1" applyBorder="1" applyProtection="1">
      <protection hidden="1"/>
    </xf>
    <xf numFmtId="0" fontId="58" fillId="3" borderId="50" xfId="12" applyFont="1" applyFill="1" applyBorder="1" applyProtection="1">
      <protection hidden="1"/>
    </xf>
    <xf numFmtId="0" fontId="58" fillId="3" borderId="1" xfId="12" applyFont="1" applyFill="1" applyBorder="1" applyAlignment="1" applyProtection="1">
      <alignment horizontal="right" wrapText="1"/>
      <protection hidden="1"/>
    </xf>
    <xf numFmtId="0" fontId="58" fillId="3" borderId="1" xfId="12" applyFont="1" applyFill="1" applyBorder="1" applyAlignment="1" applyProtection="1">
      <alignment horizontal="right"/>
      <protection hidden="1"/>
    </xf>
    <xf numFmtId="0" fontId="58" fillId="3" borderId="76" xfId="12" applyFont="1" applyFill="1" applyBorder="1" applyAlignment="1" applyProtection="1">
      <alignment horizontal="right" wrapText="1"/>
      <protection hidden="1"/>
    </xf>
    <xf numFmtId="168" fontId="9" fillId="0" borderId="0" xfId="15" applyNumberFormat="1" applyFont="1" applyFill="1" applyProtection="1">
      <protection hidden="1"/>
    </xf>
    <xf numFmtId="168" fontId="9" fillId="0" borderId="0" xfId="15" applyNumberFormat="1" applyFont="1" applyFill="1" applyAlignment="1" applyProtection="1">
      <alignment horizontal="right"/>
      <protection hidden="1"/>
    </xf>
    <xf numFmtId="169" fontId="45" fillId="0" borderId="0" xfId="12" applyNumberFormat="1" applyFont="1" applyProtection="1">
      <protection hidden="1"/>
    </xf>
    <xf numFmtId="0" fontId="45" fillId="0" borderId="0" xfId="12" applyFont="1" applyFill="1" applyBorder="1" applyProtection="1">
      <protection hidden="1"/>
    </xf>
    <xf numFmtId="168" fontId="9" fillId="5" borderId="3" xfId="15" applyNumberFormat="1" applyFont="1" applyFill="1" applyBorder="1" applyProtection="1">
      <protection hidden="1"/>
    </xf>
    <xf numFmtId="0" fontId="45" fillId="0" borderId="0" xfId="12" applyFont="1" applyAlignment="1" applyProtection="1">
      <protection hidden="1"/>
    </xf>
    <xf numFmtId="0" fontId="58" fillId="3" borderId="18" xfId="12" applyFont="1" applyFill="1" applyBorder="1" applyProtection="1">
      <protection hidden="1"/>
    </xf>
    <xf numFmtId="0" fontId="58" fillId="3" borderId="38" xfId="12" applyFont="1" applyFill="1" applyBorder="1" applyAlignment="1" applyProtection="1">
      <alignment horizontal="right" wrapText="1"/>
      <protection hidden="1"/>
    </xf>
    <xf numFmtId="0" fontId="58" fillId="3" borderId="38" xfId="12" applyFont="1" applyFill="1" applyBorder="1" applyAlignment="1" applyProtection="1">
      <alignment horizontal="right"/>
      <protection hidden="1"/>
    </xf>
    <xf numFmtId="0" fontId="13" fillId="0" borderId="63" xfId="12" applyFont="1" applyFill="1" applyBorder="1" applyProtection="1">
      <protection hidden="1"/>
    </xf>
    <xf numFmtId="167" fontId="13" fillId="0" borderId="9" xfId="14" applyNumberFormat="1" applyFont="1" applyFill="1" applyBorder="1" applyProtection="1">
      <protection hidden="1"/>
    </xf>
    <xf numFmtId="0" fontId="9" fillId="5" borderId="20" xfId="11" applyFont="1" applyFill="1" applyBorder="1" applyAlignment="1" applyProtection="1">
      <alignment vertical="center" wrapText="1"/>
      <protection hidden="1"/>
    </xf>
    <xf numFmtId="167" fontId="13" fillId="5" borderId="0" xfId="14" applyNumberFormat="1" applyFont="1" applyFill="1" applyBorder="1" applyProtection="1">
      <protection hidden="1"/>
    </xf>
    <xf numFmtId="166" fontId="13" fillId="5" borderId="21" xfId="12" applyNumberFormat="1" applyFont="1" applyFill="1" applyBorder="1" applyProtection="1">
      <protection hidden="1"/>
    </xf>
    <xf numFmtId="0" fontId="11" fillId="3" borderId="18" xfId="1" applyFont="1" applyFill="1" applyBorder="1" applyAlignment="1" applyProtection="1">
      <alignment wrapText="1"/>
      <protection hidden="1"/>
    </xf>
    <xf numFmtId="0" fontId="11" fillId="3" borderId="19" xfId="1" applyFont="1" applyFill="1" applyBorder="1" applyAlignment="1" applyProtection="1">
      <alignment horizontal="right" wrapText="1"/>
      <protection hidden="1"/>
    </xf>
    <xf numFmtId="0" fontId="20" fillId="4" borderId="63" xfId="1" applyNumberFormat="1" applyFont="1" applyFill="1" applyBorder="1" applyAlignment="1" applyProtection="1">
      <alignment wrapText="1"/>
      <protection hidden="1"/>
    </xf>
    <xf numFmtId="0" fontId="13" fillId="4" borderId="61" xfId="1" applyNumberFormat="1" applyFont="1" applyFill="1" applyBorder="1" applyAlignment="1" applyProtection="1">
      <alignment horizontal="right" wrapText="1"/>
      <protection hidden="1"/>
    </xf>
    <xf numFmtId="0" fontId="13" fillId="0" borderId="20" xfId="1" applyNumberFormat="1" applyFont="1" applyBorder="1" applyAlignment="1" applyProtection="1">
      <alignment wrapText="1"/>
      <protection hidden="1"/>
    </xf>
    <xf numFmtId="0" fontId="13" fillId="0" borderId="62" xfId="1" applyNumberFormat="1" applyFont="1" applyBorder="1" applyAlignment="1" applyProtection="1">
      <alignment horizontal="right" wrapText="1"/>
      <protection hidden="1"/>
    </xf>
    <xf numFmtId="0" fontId="13" fillId="4" borderId="20" xfId="1" applyNumberFormat="1" applyFont="1" applyFill="1" applyBorder="1" applyAlignment="1" applyProtection="1">
      <alignment wrapText="1"/>
      <protection hidden="1"/>
    </xf>
    <xf numFmtId="0" fontId="13" fillId="4" borderId="62" xfId="1" applyNumberFormat="1" applyFont="1" applyFill="1" applyBorder="1" applyAlignment="1" applyProtection="1">
      <alignment horizontal="right" wrapText="1"/>
      <protection hidden="1"/>
    </xf>
    <xf numFmtId="0" fontId="21" fillId="4" borderId="67" xfId="1" applyNumberFormat="1" applyFont="1" applyFill="1" applyBorder="1" applyAlignment="1" applyProtection="1">
      <alignment wrapText="1"/>
      <protection hidden="1"/>
    </xf>
    <xf numFmtId="9" fontId="21" fillId="4" borderId="68" xfId="2" applyFont="1" applyFill="1" applyBorder="1" applyAlignment="1" applyProtection="1">
      <alignment horizontal="right" wrapText="1"/>
      <protection hidden="1"/>
    </xf>
    <xf numFmtId="0" fontId="20" fillId="0" borderId="63" xfId="1" applyNumberFormat="1" applyFont="1" applyBorder="1" applyAlignment="1" applyProtection="1">
      <alignment wrapText="1"/>
      <protection hidden="1"/>
    </xf>
    <xf numFmtId="0" fontId="13" fillId="0" borderId="61" xfId="1" applyNumberFormat="1" applyFont="1" applyBorder="1" applyAlignment="1" applyProtection="1">
      <alignment horizontal="right" wrapText="1"/>
      <protection hidden="1"/>
    </xf>
    <xf numFmtId="0" fontId="21" fillId="0" borderId="67" xfId="1" applyNumberFormat="1" applyFont="1" applyBorder="1" applyAlignment="1" applyProtection="1">
      <alignment wrapText="1"/>
      <protection hidden="1"/>
    </xf>
    <xf numFmtId="9" fontId="21" fillId="9" borderId="68" xfId="2" applyFont="1" applyFill="1" applyBorder="1" applyAlignment="1" applyProtection="1">
      <alignment horizontal="right" wrapText="1"/>
      <protection hidden="1"/>
    </xf>
    <xf numFmtId="0" fontId="19" fillId="0" borderId="0" xfId="1" applyNumberFormat="1" applyFont="1" applyBorder="1" applyAlignment="1" applyProtection="1">
      <alignment horizontal="right"/>
      <protection hidden="1"/>
    </xf>
    <xf numFmtId="0" fontId="19" fillId="0" borderId="0" xfId="1" applyNumberFormat="1" applyFont="1" applyBorder="1" applyAlignment="1" applyProtection="1">
      <alignment horizontal="right" wrapText="1"/>
      <protection hidden="1"/>
    </xf>
    <xf numFmtId="9" fontId="21" fillId="0" borderId="68" xfId="2" applyFont="1" applyFill="1" applyBorder="1" applyAlignment="1" applyProtection="1">
      <alignment horizontal="right" wrapText="1"/>
      <protection hidden="1"/>
    </xf>
    <xf numFmtId="0" fontId="21" fillId="0" borderId="48" xfId="1" applyNumberFormat="1" applyFont="1" applyBorder="1" applyAlignment="1" applyProtection="1">
      <alignment wrapText="1"/>
      <protection hidden="1"/>
    </xf>
    <xf numFmtId="9" fontId="21" fillId="9" borderId="12" xfId="2" applyFont="1" applyFill="1" applyBorder="1" applyAlignment="1" applyProtection="1">
      <alignment horizontal="right" wrapText="1"/>
      <protection hidden="1"/>
    </xf>
    <xf numFmtId="9" fontId="21" fillId="9" borderId="64" xfId="2" applyFont="1" applyFill="1" applyBorder="1" applyAlignment="1" applyProtection="1">
      <alignment horizontal="right" wrapText="1"/>
      <protection hidden="1"/>
    </xf>
    <xf numFmtId="0" fontId="66" fillId="0" borderId="12" xfId="12" applyFont="1" applyBorder="1" applyProtection="1">
      <protection hidden="1"/>
    </xf>
    <xf numFmtId="0" fontId="76" fillId="3" borderId="75" xfId="12" applyFont="1" applyFill="1" applyBorder="1" applyAlignment="1" applyProtection="1">
      <alignment wrapText="1"/>
      <protection hidden="1"/>
    </xf>
    <xf numFmtId="0" fontId="76" fillId="3" borderId="74" xfId="12" applyFont="1" applyFill="1" applyBorder="1" applyAlignment="1" applyProtection="1">
      <alignment horizontal="center" wrapText="1"/>
      <protection hidden="1"/>
    </xf>
    <xf numFmtId="0" fontId="66" fillId="3" borderId="74" xfId="12" applyFont="1" applyFill="1" applyBorder="1" applyProtection="1">
      <protection hidden="1"/>
    </xf>
    <xf numFmtId="0" fontId="76" fillId="3" borderId="74" xfId="12" applyFont="1" applyFill="1" applyBorder="1" applyAlignment="1" applyProtection="1">
      <alignment horizontal="right" wrapText="1"/>
      <protection hidden="1"/>
    </xf>
    <xf numFmtId="0" fontId="76" fillId="3" borderId="47" xfId="12" applyFont="1" applyFill="1" applyBorder="1" applyAlignment="1" applyProtection="1">
      <alignment horizontal="right" wrapText="1"/>
      <protection hidden="1"/>
    </xf>
    <xf numFmtId="0" fontId="58" fillId="3" borderId="3" xfId="12" applyFont="1" applyFill="1" applyBorder="1" applyProtection="1">
      <protection hidden="1"/>
    </xf>
    <xf numFmtId="0" fontId="22" fillId="3" borderId="3" xfId="16" applyFont="1" applyFill="1" applyBorder="1" applyAlignment="1" applyProtection="1">
      <alignment horizontal="right" vertical="center" wrapText="1"/>
      <protection hidden="1"/>
    </xf>
    <xf numFmtId="165" fontId="22" fillId="3" borderId="0" xfId="6" applyNumberFormat="1" applyFont="1" applyFill="1" applyBorder="1" applyAlignment="1" applyProtection="1">
      <alignment horizontal="right" wrapText="1"/>
      <protection hidden="1"/>
    </xf>
    <xf numFmtId="167" fontId="13" fillId="0" borderId="0" xfId="14" applyNumberFormat="1" applyFont="1" applyFill="1" applyBorder="1" applyProtection="1">
      <protection hidden="1"/>
    </xf>
    <xf numFmtId="167" fontId="9" fillId="0" borderId="0" xfId="14" applyNumberFormat="1" applyFont="1" applyFill="1" applyBorder="1" applyAlignment="1" applyProtection="1">
      <alignment horizontal="right"/>
      <protection hidden="1"/>
    </xf>
    <xf numFmtId="0" fontId="71" fillId="10" borderId="0" xfId="11" applyFont="1" applyFill="1" applyBorder="1" applyAlignment="1" applyProtection="1">
      <alignment vertical="center"/>
      <protection hidden="1"/>
    </xf>
    <xf numFmtId="0" fontId="66" fillId="0" borderId="0" xfId="12" applyFont="1" applyAlignment="1" applyProtection="1">
      <protection hidden="1"/>
    </xf>
    <xf numFmtId="0" fontId="58" fillId="3" borderId="0" xfId="12" applyFont="1" applyFill="1" applyBorder="1" applyAlignment="1" applyProtection="1">
      <alignment wrapText="1"/>
      <protection hidden="1"/>
    </xf>
    <xf numFmtId="0" fontId="58" fillId="3" borderId="0" xfId="12" applyFont="1" applyFill="1" applyBorder="1" applyAlignment="1" applyProtection="1">
      <alignment horizontal="right" wrapText="1"/>
      <protection hidden="1"/>
    </xf>
    <xf numFmtId="0" fontId="9" fillId="0" borderId="9" xfId="17" applyFont="1" applyFill="1" applyBorder="1" applyAlignment="1" applyProtection="1">
      <alignment vertical="center" wrapText="1"/>
      <protection hidden="1"/>
    </xf>
    <xf numFmtId="166" fontId="9" fillId="0" borderId="0" xfId="14" applyNumberFormat="1" applyFont="1" applyFill="1" applyBorder="1" applyProtection="1">
      <protection hidden="1"/>
    </xf>
    <xf numFmtId="3" fontId="13" fillId="0" borderId="9" xfId="14" applyNumberFormat="1" applyFont="1" applyFill="1" applyBorder="1" applyProtection="1">
      <protection hidden="1"/>
    </xf>
    <xf numFmtId="166" fontId="13" fillId="0" borderId="9" xfId="14" applyNumberFormat="1" applyFont="1" applyFill="1" applyBorder="1" applyProtection="1">
      <protection hidden="1"/>
    </xf>
    <xf numFmtId="0" fontId="9" fillId="0" borderId="0" xfId="17" applyFont="1" applyFill="1" applyBorder="1" applyAlignment="1" applyProtection="1">
      <alignment vertical="center" wrapText="1"/>
      <protection hidden="1"/>
    </xf>
    <xf numFmtId="3" fontId="13" fillId="0" borderId="0" xfId="14" applyNumberFormat="1" applyFont="1" applyFill="1" applyBorder="1" applyProtection="1">
      <protection hidden="1"/>
    </xf>
    <xf numFmtId="166" fontId="13" fillId="0" borderId="0" xfId="14" applyNumberFormat="1" applyFont="1" applyFill="1" applyBorder="1" applyProtection="1">
      <protection hidden="1"/>
    </xf>
    <xf numFmtId="167" fontId="13" fillId="0" borderId="0" xfId="14" applyNumberFormat="1" applyFont="1" applyFill="1" applyBorder="1" applyAlignment="1" applyProtection="1">
      <alignment horizontal="right"/>
      <protection hidden="1"/>
    </xf>
    <xf numFmtId="3" fontId="13" fillId="0" borderId="0" xfId="14" applyNumberFormat="1" applyFont="1" applyFill="1" applyBorder="1" applyAlignment="1" applyProtection="1">
      <alignment horizontal="right"/>
      <protection hidden="1"/>
    </xf>
    <xf numFmtId="166" fontId="13" fillId="0" borderId="0" xfId="14" applyNumberFormat="1" applyFont="1" applyFill="1" applyBorder="1" applyAlignment="1" applyProtection="1">
      <alignment horizontal="right"/>
      <protection hidden="1"/>
    </xf>
    <xf numFmtId="0" fontId="21" fillId="0" borderId="0" xfId="12" applyFont="1" applyFill="1" applyBorder="1" applyProtection="1">
      <protection hidden="1"/>
    </xf>
    <xf numFmtId="167" fontId="48" fillId="0" borderId="0" xfId="14" applyNumberFormat="1" applyFont="1" applyFill="1" applyBorder="1" applyProtection="1">
      <protection hidden="1"/>
    </xf>
    <xf numFmtId="166" fontId="48" fillId="0" borderId="0" xfId="14" applyNumberFormat="1" applyFont="1" applyFill="1" applyBorder="1" applyProtection="1">
      <protection hidden="1"/>
    </xf>
    <xf numFmtId="3" fontId="21" fillId="0" borderId="0" xfId="14" applyNumberFormat="1" applyFont="1" applyFill="1" applyBorder="1" applyProtection="1">
      <protection hidden="1"/>
    </xf>
    <xf numFmtId="166" fontId="21" fillId="0" borderId="0" xfId="14" applyNumberFormat="1" applyFont="1" applyFill="1" applyBorder="1" applyProtection="1">
      <protection hidden="1"/>
    </xf>
    <xf numFmtId="0" fontId="72" fillId="0" borderId="0" xfId="12" applyFont="1" applyProtection="1">
      <protection hidden="1"/>
    </xf>
    <xf numFmtId="166" fontId="9" fillId="5" borderId="3" xfId="14" applyNumberFormat="1" applyFont="1" applyFill="1" applyBorder="1" applyProtection="1">
      <protection hidden="1"/>
    </xf>
    <xf numFmtId="167" fontId="13" fillId="5" borderId="3" xfId="14" applyNumberFormat="1" applyFont="1" applyFill="1" applyBorder="1" applyProtection="1">
      <protection hidden="1"/>
    </xf>
    <xf numFmtId="3" fontId="13" fillId="5" borderId="3" xfId="14" applyNumberFormat="1" applyFont="1" applyFill="1" applyBorder="1" applyProtection="1">
      <protection hidden="1"/>
    </xf>
    <xf numFmtId="166" fontId="13" fillId="5" borderId="4" xfId="14" applyNumberFormat="1" applyFont="1" applyFill="1" applyBorder="1" applyProtection="1">
      <protection hidden="1"/>
    </xf>
    <xf numFmtId="0" fontId="26" fillId="0" borderId="0" xfId="17" applyFont="1" applyFill="1" applyBorder="1" applyAlignment="1" applyProtection="1">
      <alignment vertical="center" wrapText="1"/>
      <protection hidden="1"/>
    </xf>
    <xf numFmtId="166" fontId="45" fillId="0" borderId="0" xfId="12" applyNumberFormat="1" applyFont="1" applyProtection="1">
      <protection hidden="1"/>
    </xf>
    <xf numFmtId="0" fontId="76" fillId="3" borderId="5" xfId="12" applyFont="1" applyFill="1" applyBorder="1" applyAlignment="1" applyProtection="1">
      <alignment horizontal="right"/>
      <protection hidden="1"/>
    </xf>
    <xf numFmtId="0" fontId="58" fillId="3" borderId="5" xfId="12" applyFont="1" applyFill="1" applyBorder="1" applyAlignment="1" applyProtection="1">
      <alignment horizontal="left"/>
      <protection hidden="1"/>
    </xf>
    <xf numFmtId="0" fontId="76" fillId="3" borderId="18" xfId="12" applyFont="1" applyFill="1" applyBorder="1" applyAlignment="1" applyProtection="1">
      <alignment horizontal="right" wrapText="1"/>
      <protection hidden="1"/>
    </xf>
    <xf numFmtId="0" fontId="58" fillId="3" borderId="5" xfId="12" applyFont="1" applyFill="1" applyBorder="1" applyAlignment="1" applyProtection="1">
      <alignment horizontal="right" wrapText="1"/>
      <protection hidden="1"/>
    </xf>
    <xf numFmtId="0" fontId="58" fillId="3" borderId="48" xfId="12" applyFont="1" applyFill="1" applyBorder="1" applyProtection="1">
      <protection hidden="1"/>
    </xf>
    <xf numFmtId="0" fontId="58" fillId="3" borderId="12" xfId="12" applyFont="1" applyFill="1" applyBorder="1" applyAlignment="1" applyProtection="1">
      <alignment horizontal="right"/>
      <protection hidden="1"/>
    </xf>
    <xf numFmtId="0" fontId="58" fillId="3" borderId="48" xfId="12" applyFont="1" applyFill="1" applyBorder="1" applyAlignment="1" applyProtection="1">
      <alignment horizontal="right"/>
      <protection hidden="1"/>
    </xf>
    <xf numFmtId="0" fontId="58" fillId="3" borderId="49" xfId="12" applyFont="1" applyFill="1" applyBorder="1" applyAlignment="1" applyProtection="1">
      <alignment horizontal="right"/>
      <protection hidden="1"/>
    </xf>
    <xf numFmtId="0" fontId="69" fillId="0" borderId="0" xfId="11" applyFont="1" applyFill="1" applyBorder="1" applyAlignment="1" applyProtection="1">
      <alignment vertical="center" wrapText="1"/>
      <protection hidden="1"/>
    </xf>
    <xf numFmtId="167" fontId="69" fillId="0" borderId="18" xfId="14" applyNumberFormat="1" applyFont="1" applyFill="1" applyBorder="1" applyProtection="1">
      <protection hidden="1"/>
    </xf>
    <xf numFmtId="167" fontId="69" fillId="0" borderId="20" xfId="14" applyNumberFormat="1" applyFont="1" applyFill="1" applyBorder="1" applyProtection="1">
      <protection hidden="1"/>
    </xf>
    <xf numFmtId="0" fontId="73" fillId="0" borderId="0" xfId="11" applyFont="1" applyFill="1" applyBorder="1" applyAlignment="1" applyProtection="1">
      <alignment vertical="center" wrapText="1"/>
      <protection hidden="1"/>
    </xf>
    <xf numFmtId="167" fontId="73" fillId="0" borderId="0" xfId="14" applyNumberFormat="1" applyFont="1" applyFill="1" applyBorder="1" applyProtection="1">
      <protection hidden="1"/>
    </xf>
    <xf numFmtId="167" fontId="73" fillId="0" borderId="20" xfId="14" applyNumberFormat="1" applyFont="1" applyFill="1" applyBorder="1" applyProtection="1">
      <protection hidden="1"/>
    </xf>
    <xf numFmtId="0" fontId="72" fillId="0" borderId="0" xfId="12" applyFont="1" applyFill="1" applyBorder="1" applyProtection="1">
      <protection hidden="1"/>
    </xf>
    <xf numFmtId="0" fontId="74" fillId="0" borderId="0" xfId="12" applyFont="1" applyProtection="1">
      <protection hidden="1"/>
    </xf>
    <xf numFmtId="0" fontId="45" fillId="5" borderId="2" xfId="12" applyFont="1" applyFill="1" applyBorder="1" applyProtection="1">
      <protection hidden="1"/>
    </xf>
    <xf numFmtId="167" fontId="45" fillId="5" borderId="3" xfId="14" applyNumberFormat="1" applyFont="1" applyFill="1" applyBorder="1" applyProtection="1">
      <protection hidden="1"/>
    </xf>
    <xf numFmtId="167" fontId="69" fillId="5" borderId="3" xfId="14" applyNumberFormat="1" applyFont="1" applyFill="1" applyBorder="1" applyProtection="1">
      <protection hidden="1"/>
    </xf>
    <xf numFmtId="167" fontId="69" fillId="5" borderId="67" xfId="14" applyNumberFormat="1" applyFont="1" applyFill="1" applyBorder="1" applyProtection="1">
      <protection hidden="1"/>
    </xf>
    <xf numFmtId="167" fontId="69" fillId="5" borderId="4" xfId="14" applyNumberFormat="1" applyFont="1" applyFill="1" applyBorder="1" applyProtection="1">
      <protection hidden="1"/>
    </xf>
    <xf numFmtId="167" fontId="45" fillId="0" borderId="0" xfId="12" applyNumberFormat="1" applyFont="1" applyProtection="1">
      <protection hidden="1"/>
    </xf>
    <xf numFmtId="0" fontId="9" fillId="14" borderId="18" xfId="29" applyFont="1" applyFill="1" applyBorder="1" applyProtection="1">
      <protection hidden="1"/>
    </xf>
    <xf numFmtId="0" fontId="0" fillId="14" borderId="5" xfId="0" applyFill="1" applyBorder="1" applyProtection="1">
      <protection hidden="1"/>
    </xf>
    <xf numFmtId="0" fontId="0" fillId="14" borderId="19" xfId="0" applyFill="1" applyBorder="1" applyProtection="1">
      <protection hidden="1"/>
    </xf>
    <xf numFmtId="0" fontId="9" fillId="14" borderId="20" xfId="0" applyFont="1" applyFill="1" applyBorder="1" applyProtection="1">
      <protection hidden="1"/>
    </xf>
    <xf numFmtId="0" fontId="0" fillId="14" borderId="0" xfId="0" applyFill="1" applyBorder="1" applyProtection="1">
      <protection hidden="1"/>
    </xf>
    <xf numFmtId="0" fontId="0" fillId="14" borderId="21" xfId="0" applyFill="1" applyBorder="1" applyProtection="1">
      <protection hidden="1"/>
    </xf>
    <xf numFmtId="0" fontId="77" fillId="14" borderId="48" xfId="30" applyFont="1" applyFill="1" applyBorder="1" applyAlignment="1" applyProtection="1">
      <protection hidden="1"/>
    </xf>
    <xf numFmtId="0" fontId="0" fillId="14" borderId="12" xfId="0" applyFill="1" applyBorder="1" applyProtection="1">
      <protection hidden="1"/>
    </xf>
    <xf numFmtId="0" fontId="0" fillId="14" borderId="49" xfId="0" applyFill="1" applyBorder="1" applyProtection="1">
      <protection hidden="1"/>
    </xf>
    <xf numFmtId="0" fontId="64" fillId="14" borderId="0" xfId="1" applyFont="1" applyFill="1" applyProtection="1">
      <protection hidden="1"/>
    </xf>
    <xf numFmtId="0" fontId="64" fillId="2" borderId="0" xfId="1" applyFont="1" applyFill="1" applyProtection="1">
      <protection hidden="1"/>
    </xf>
    <xf numFmtId="0" fontId="64" fillId="0" borderId="0" xfId="1" applyFont="1" applyProtection="1">
      <protection hidden="1"/>
    </xf>
    <xf numFmtId="3" fontId="13" fillId="0" borderId="0" xfId="0" applyNumberFormat="1" applyFont="1" applyAlignment="1" applyProtection="1">
      <alignment wrapText="1"/>
      <protection hidden="1"/>
    </xf>
    <xf numFmtId="3" fontId="9" fillId="0" borderId="0" xfId="1" applyNumberFormat="1" applyFont="1" applyBorder="1" applyAlignment="1" applyProtection="1">
      <alignment horizontal="right"/>
      <protection hidden="1"/>
    </xf>
    <xf numFmtId="0" fontId="12" fillId="0" borderId="0" xfId="1" applyFont="1" applyFill="1" applyAlignment="1" applyProtection="1">
      <protection hidden="1"/>
    </xf>
    <xf numFmtId="0" fontId="9" fillId="0" borderId="0" xfId="1" applyFill="1" applyAlignment="1" applyProtection="1">
      <alignment wrapText="1"/>
      <protection hidden="1"/>
    </xf>
    <xf numFmtId="1" fontId="11" fillId="3" borderId="0" xfId="1" applyNumberFormat="1" applyFont="1" applyFill="1" applyBorder="1" applyAlignment="1" applyProtection="1">
      <alignment horizontal="right" wrapText="1"/>
      <protection hidden="1"/>
    </xf>
    <xf numFmtId="0" fontId="13" fillId="0" borderId="0" xfId="0" applyNumberFormat="1" applyFont="1" applyAlignment="1" applyProtection="1">
      <alignment wrapText="1"/>
      <protection hidden="1"/>
    </xf>
    <xf numFmtId="9" fontId="13" fillId="0" borderId="0" xfId="0" applyNumberFormat="1" applyFont="1" applyFill="1" applyAlignment="1" applyProtection="1">
      <alignment wrapText="1"/>
      <protection hidden="1"/>
    </xf>
    <xf numFmtId="9" fontId="13" fillId="0" borderId="0" xfId="0" applyNumberFormat="1" applyFont="1" applyAlignment="1" applyProtection="1">
      <alignment wrapText="1"/>
      <protection hidden="1"/>
    </xf>
    <xf numFmtId="1" fontId="13" fillId="0" borderId="0" xfId="0" applyNumberFormat="1" applyFont="1" applyAlignment="1" applyProtection="1">
      <alignment wrapText="1"/>
      <protection hidden="1"/>
    </xf>
    <xf numFmtId="9" fontId="9" fillId="0" borderId="0" xfId="1" applyNumberFormat="1" applyFont="1" applyBorder="1" applyAlignment="1" applyProtection="1">
      <alignment wrapText="1"/>
      <protection hidden="1"/>
    </xf>
    <xf numFmtId="1" fontId="9" fillId="0" borderId="0" xfId="1" applyNumberFormat="1" applyFont="1" applyFill="1" applyBorder="1" applyAlignment="1" applyProtection="1">
      <alignment horizontal="right" wrapText="1"/>
      <protection hidden="1"/>
    </xf>
    <xf numFmtId="0" fontId="18" fillId="7" borderId="9" xfId="1" applyNumberFormat="1" applyFont="1" applyFill="1" applyBorder="1" applyAlignment="1" applyProtection="1">
      <alignment vertical="center" wrapText="1"/>
      <protection hidden="1"/>
    </xf>
    <xf numFmtId="9" fontId="18" fillId="7" borderId="22" xfId="1" applyNumberFormat="1" applyFont="1" applyFill="1" applyBorder="1" applyAlignment="1" applyProtection="1">
      <alignment horizontal="right" wrapText="1"/>
      <protection hidden="1"/>
    </xf>
    <xf numFmtId="1" fontId="18" fillId="7" borderId="9" xfId="1" applyNumberFormat="1" applyFont="1" applyFill="1" applyBorder="1" applyAlignment="1" applyProtection="1">
      <alignment horizontal="right" wrapText="1"/>
      <protection hidden="1"/>
    </xf>
    <xf numFmtId="0" fontId="11" fillId="3" borderId="13" xfId="1" applyFont="1" applyFill="1" applyBorder="1" applyAlignment="1" applyProtection="1">
      <alignment horizontal="left" wrapText="1"/>
      <protection hidden="1"/>
    </xf>
    <xf numFmtId="0" fontId="11" fillId="3" borderId="14" xfId="1" applyFont="1" applyFill="1" applyBorder="1" applyAlignment="1" applyProtection="1">
      <alignment horizontal="right" wrapText="1"/>
      <protection hidden="1"/>
    </xf>
    <xf numFmtId="0" fontId="13" fillId="4" borderId="10" xfId="0" applyNumberFormat="1" applyFont="1" applyFill="1" applyBorder="1" applyAlignment="1" applyProtection="1">
      <alignment horizontal="left" wrapText="1"/>
      <protection hidden="1"/>
    </xf>
    <xf numFmtId="0" fontId="13" fillId="4" borderId="0" xfId="0" applyFont="1" applyFill="1" applyBorder="1" applyAlignment="1" applyProtection="1">
      <alignment horizontal="right" wrapText="1"/>
      <protection hidden="1"/>
    </xf>
    <xf numFmtId="0" fontId="13" fillId="4" borderId="6" xfId="0" applyFont="1" applyFill="1" applyBorder="1" applyAlignment="1" applyProtection="1">
      <alignment wrapText="1"/>
      <protection hidden="1"/>
    </xf>
    <xf numFmtId="9" fontId="13" fillId="0" borderId="10" xfId="0" applyNumberFormat="1" applyFont="1" applyBorder="1" applyAlignment="1" applyProtection="1">
      <alignment horizontal="left" wrapText="1"/>
      <protection hidden="1"/>
    </xf>
    <xf numFmtId="0" fontId="13" fillId="0" borderId="0" xfId="0" applyFont="1" applyBorder="1" applyAlignment="1" applyProtection="1">
      <alignment horizontal="right" wrapText="1"/>
      <protection hidden="1"/>
    </xf>
    <xf numFmtId="0" fontId="13" fillId="0" borderId="7" xfId="0" applyFont="1" applyBorder="1" applyAlignment="1" applyProtection="1">
      <alignment wrapText="1"/>
      <protection hidden="1"/>
    </xf>
    <xf numFmtId="9" fontId="13" fillId="4" borderId="10" xfId="0" applyNumberFormat="1" applyFont="1" applyFill="1" applyBorder="1" applyAlignment="1" applyProtection="1">
      <alignment horizontal="left" wrapText="1"/>
      <protection hidden="1"/>
    </xf>
    <xf numFmtId="0" fontId="13" fillId="4" borderId="7" xfId="0" applyFont="1" applyFill="1" applyBorder="1" applyAlignment="1" applyProtection="1">
      <alignment wrapText="1"/>
      <protection hidden="1"/>
    </xf>
    <xf numFmtId="0" fontId="13" fillId="0" borderId="10" xfId="0" applyNumberFormat="1" applyFont="1" applyBorder="1" applyAlignment="1" applyProtection="1">
      <alignment horizontal="left" wrapText="1"/>
      <protection hidden="1"/>
    </xf>
    <xf numFmtId="0" fontId="13" fillId="6" borderId="8" xfId="0" applyFont="1" applyFill="1" applyBorder="1" applyAlignment="1" applyProtection="1">
      <alignment horizontal="left" wrapText="1"/>
      <protection hidden="1"/>
    </xf>
    <xf numFmtId="165" fontId="13" fillId="6" borderId="9" xfId="6" applyNumberFormat="1" applyFont="1" applyFill="1" applyBorder="1" applyAlignment="1" applyProtection="1">
      <alignment horizontal="right" wrapText="1"/>
      <protection hidden="1"/>
    </xf>
    <xf numFmtId="165" fontId="13" fillId="6" borderId="6" xfId="6" applyNumberFormat="1" applyFont="1" applyFill="1" applyBorder="1" applyAlignment="1" applyProtection="1">
      <alignment horizontal="right" wrapText="1"/>
      <protection hidden="1"/>
    </xf>
    <xf numFmtId="0" fontId="13" fillId="7" borderId="10" xfId="0" applyFont="1" applyFill="1" applyBorder="1" applyAlignment="1" applyProtection="1">
      <alignment horizontal="left" wrapText="1"/>
      <protection hidden="1"/>
    </xf>
    <xf numFmtId="165" fontId="13" fillId="7" borderId="0" xfId="6" applyNumberFormat="1" applyFont="1" applyFill="1" applyBorder="1" applyAlignment="1" applyProtection="1">
      <alignment horizontal="right" wrapText="1"/>
      <protection hidden="1"/>
    </xf>
    <xf numFmtId="165" fontId="13" fillId="7" borderId="0" xfId="6" applyNumberFormat="1" applyFont="1" applyFill="1" applyBorder="1" applyAlignment="1" applyProtection="1">
      <alignment horizontal="right"/>
      <protection hidden="1"/>
    </xf>
    <xf numFmtId="0" fontId="13" fillId="6" borderId="2" xfId="0" applyFont="1" applyFill="1" applyBorder="1" applyAlignment="1" applyProtection="1">
      <alignment horizontal="left" wrapText="1"/>
      <protection hidden="1"/>
    </xf>
    <xf numFmtId="165" fontId="13" fillId="6" borderId="3" xfId="6" applyNumberFormat="1" applyFont="1" applyFill="1" applyBorder="1" applyAlignment="1" applyProtection="1">
      <alignment horizontal="right" wrapText="1"/>
      <protection hidden="1"/>
    </xf>
    <xf numFmtId="0" fontId="11" fillId="3" borderId="22" xfId="1" applyFont="1" applyFill="1" applyBorder="1" applyAlignment="1" applyProtection="1">
      <alignment horizontal="right" wrapText="1"/>
      <protection hidden="1"/>
    </xf>
    <xf numFmtId="0" fontId="13" fillId="0" borderId="0" xfId="1" applyFont="1" applyFill="1" applyBorder="1" applyAlignment="1" applyProtection="1">
      <alignment wrapText="1"/>
      <protection hidden="1"/>
    </xf>
    <xf numFmtId="165" fontId="13" fillId="0" borderId="0" xfId="4" applyNumberFormat="1" applyFont="1" applyFill="1" applyBorder="1" applyAlignment="1" applyProtection="1">
      <alignment horizontal="right" wrapText="1"/>
      <protection hidden="1"/>
    </xf>
    <xf numFmtId="0" fontId="9" fillId="0" borderId="0" xfId="1" applyFill="1" applyProtection="1">
      <protection hidden="1"/>
    </xf>
    <xf numFmtId="0" fontId="11" fillId="3" borderId="15" xfId="1" applyFont="1" applyFill="1" applyBorder="1" applyAlignment="1" applyProtection="1">
      <alignment wrapText="1"/>
      <protection hidden="1"/>
    </xf>
    <xf numFmtId="0" fontId="13" fillId="0" borderId="0" xfId="0" applyFont="1" applyAlignment="1" applyProtection="1">
      <alignment wrapText="1"/>
      <protection hidden="1"/>
    </xf>
    <xf numFmtId="0" fontId="20" fillId="7" borderId="28" xfId="1" applyFont="1" applyFill="1" applyBorder="1" applyAlignment="1" applyProtection="1">
      <alignment wrapText="1"/>
      <protection hidden="1"/>
    </xf>
    <xf numFmtId="0" fontId="20" fillId="7" borderId="29" xfId="1" applyFont="1" applyFill="1" applyBorder="1" applyAlignment="1" applyProtection="1">
      <alignment wrapText="1"/>
      <protection hidden="1"/>
    </xf>
    <xf numFmtId="9" fontId="20" fillId="7" borderId="30" xfId="1" applyNumberFormat="1" applyFont="1" applyFill="1" applyBorder="1" applyAlignment="1" applyProtection="1">
      <alignment wrapText="1"/>
      <protection hidden="1"/>
    </xf>
    <xf numFmtId="0" fontId="19" fillId="0" borderId="0" xfId="1" applyFont="1" applyAlignment="1" applyProtection="1">
      <alignment wrapText="1"/>
      <protection hidden="1"/>
    </xf>
    <xf numFmtId="0" fontId="13" fillId="0" borderId="7" xfId="1" applyNumberFormat="1" applyFont="1" applyBorder="1" applyAlignment="1" applyProtection="1">
      <alignment horizontal="right" wrapText="1"/>
      <protection hidden="1"/>
    </xf>
    <xf numFmtId="0" fontId="9" fillId="0" borderId="0" xfId="1" applyAlignment="1" applyProtection="1">
      <protection hidden="1"/>
    </xf>
    <xf numFmtId="165" fontId="9" fillId="3" borderId="41" xfId="6" applyNumberFormat="1" applyFont="1" applyFill="1" applyBorder="1" applyProtection="1">
      <protection hidden="1"/>
    </xf>
    <xf numFmtId="165" fontId="11" fillId="3" borderId="42" xfId="6" applyNumberFormat="1" applyFont="1" applyFill="1" applyBorder="1" applyAlignment="1" applyProtection="1">
      <alignment horizontal="right" vertical="center" wrapText="1"/>
      <protection hidden="1"/>
    </xf>
    <xf numFmtId="165" fontId="11" fillId="3" borderId="25" xfId="6" applyNumberFormat="1" applyFont="1" applyFill="1" applyBorder="1" applyAlignment="1" applyProtection="1">
      <alignment horizontal="right" vertical="center" wrapText="1"/>
      <protection hidden="1"/>
    </xf>
    <xf numFmtId="165" fontId="11" fillId="3" borderId="27" xfId="6" applyNumberFormat="1" applyFont="1" applyFill="1" applyBorder="1" applyAlignment="1" applyProtection="1">
      <alignment horizontal="right" vertical="center" wrapText="1"/>
      <protection hidden="1"/>
    </xf>
    <xf numFmtId="165" fontId="22" fillId="3" borderId="10" xfId="6" applyNumberFormat="1" applyFont="1" applyFill="1" applyBorder="1" applyAlignment="1" applyProtection="1">
      <alignment horizontal="left" wrapText="1"/>
      <protection hidden="1"/>
    </xf>
    <xf numFmtId="165" fontId="22" fillId="3" borderId="17" xfId="6" applyNumberFormat="1" applyFont="1" applyFill="1" applyBorder="1" applyAlignment="1" applyProtection="1">
      <alignment horizontal="right" wrapText="1"/>
      <protection hidden="1"/>
    </xf>
    <xf numFmtId="165" fontId="22" fillId="3" borderId="16" xfId="6" applyNumberFormat="1" applyFont="1" applyFill="1" applyBorder="1" applyAlignment="1" applyProtection="1">
      <alignment horizontal="right" wrapText="1"/>
      <protection hidden="1"/>
    </xf>
    <xf numFmtId="165" fontId="13" fillId="0" borderId="10" xfId="6" applyNumberFormat="1" applyFont="1" applyBorder="1" applyProtection="1">
      <protection hidden="1"/>
    </xf>
    <xf numFmtId="165" fontId="13" fillId="0" borderId="0" xfId="6" applyNumberFormat="1" applyFont="1" applyBorder="1" applyProtection="1">
      <protection hidden="1"/>
    </xf>
    <xf numFmtId="165" fontId="13" fillId="0" borderId="16" xfId="6" applyNumberFormat="1" applyFont="1" applyBorder="1" applyProtection="1">
      <protection hidden="1"/>
    </xf>
    <xf numFmtId="165" fontId="13" fillId="0" borderId="0" xfId="6" applyNumberFormat="1" applyFont="1" applyBorder="1" applyAlignment="1" applyProtection="1">
      <alignment horizontal="right"/>
      <protection hidden="1"/>
    </xf>
    <xf numFmtId="165" fontId="13" fillId="0" borderId="2" xfId="6" applyNumberFormat="1" applyFont="1" applyBorder="1" applyProtection="1">
      <protection hidden="1"/>
    </xf>
    <xf numFmtId="165" fontId="13" fillId="0" borderId="3" xfId="6" applyNumberFormat="1" applyFont="1" applyBorder="1" applyProtection="1">
      <protection hidden="1"/>
    </xf>
    <xf numFmtId="165" fontId="13" fillId="0" borderId="3" xfId="6" applyNumberFormat="1" applyFont="1" applyBorder="1" applyAlignment="1" applyProtection="1">
      <alignment horizontal="right"/>
      <protection hidden="1"/>
    </xf>
    <xf numFmtId="165" fontId="13" fillId="0" borderId="4" xfId="6" applyNumberFormat="1" applyFont="1" applyBorder="1" applyProtection="1">
      <protection hidden="1"/>
    </xf>
    <xf numFmtId="0" fontId="11" fillId="3" borderId="13" xfId="1" applyFont="1" applyFill="1" applyBorder="1" applyAlignment="1" applyProtection="1">
      <alignment horizontal="right" wrapText="1"/>
      <protection hidden="1"/>
    </xf>
    <xf numFmtId="0" fontId="11" fillId="3" borderId="15" xfId="1" applyFont="1" applyFill="1" applyBorder="1" applyAlignment="1" applyProtection="1">
      <alignment horizontal="right" wrapText="1"/>
      <protection hidden="1"/>
    </xf>
    <xf numFmtId="0" fontId="13" fillId="4" borderId="0" xfId="1" applyFont="1" applyFill="1" applyAlignment="1" applyProtection="1">
      <alignment wrapText="1"/>
      <protection hidden="1"/>
    </xf>
    <xf numFmtId="0" fontId="13" fillId="4" borderId="0" xfId="1" applyFont="1" applyFill="1" applyAlignment="1" applyProtection="1">
      <alignment horizontal="right" wrapText="1"/>
      <protection hidden="1"/>
    </xf>
    <xf numFmtId="0" fontId="13" fillId="0" borderId="0" xfId="1" applyFont="1" applyAlignment="1" applyProtection="1">
      <alignment horizontal="right" wrapText="1"/>
      <protection hidden="1"/>
    </xf>
    <xf numFmtId="0" fontId="65" fillId="0" borderId="0" xfId="27" quotePrefix="1" applyProtection="1">
      <protection hidden="1"/>
    </xf>
    <xf numFmtId="165" fontId="22" fillId="3" borderId="48" xfId="6" applyNumberFormat="1" applyFont="1" applyFill="1" applyBorder="1" applyAlignment="1" applyProtection="1">
      <alignment horizontal="left" wrapText="1"/>
      <protection hidden="1"/>
    </xf>
    <xf numFmtId="0" fontId="9" fillId="0" borderId="9" xfId="1" applyNumberFormat="1" applyFont="1" applyBorder="1" applyAlignment="1" applyProtection="1">
      <alignment wrapText="1"/>
      <protection hidden="1"/>
    </xf>
    <xf numFmtId="3" fontId="9" fillId="0" borderId="9" xfId="1" applyNumberFormat="1" applyFont="1" applyBorder="1" applyAlignment="1" applyProtection="1">
      <alignment horizontal="right" vertical="center"/>
      <protection hidden="1"/>
    </xf>
    <xf numFmtId="9" fontId="9" fillId="0" borderId="9" xfId="1" applyNumberFormat="1" applyFont="1" applyBorder="1" applyAlignment="1" applyProtection="1">
      <alignment horizontal="right" wrapText="1"/>
      <protection hidden="1"/>
    </xf>
    <xf numFmtId="0" fontId="9" fillId="0" borderId="9" xfId="1" applyNumberFormat="1" applyFont="1" applyBorder="1" applyAlignment="1" applyProtection="1">
      <alignment horizontal="right" wrapText="1"/>
      <protection hidden="1"/>
    </xf>
    <xf numFmtId="0" fontId="9" fillId="0" borderId="0" xfId="1" applyNumberFormat="1" applyFont="1" applyBorder="1" applyAlignment="1" applyProtection="1">
      <alignment horizontal="right" wrapText="1"/>
      <protection hidden="1"/>
    </xf>
    <xf numFmtId="0" fontId="9" fillId="0" borderId="0" xfId="1" applyNumberFormat="1" applyFont="1" applyFill="1" applyBorder="1" applyAlignment="1" applyProtection="1">
      <alignment horizontal="right" wrapText="1"/>
      <protection hidden="1"/>
    </xf>
    <xf numFmtId="0" fontId="9" fillId="7" borderId="9" xfId="1" applyNumberFormat="1" applyFont="1" applyFill="1" applyBorder="1" applyAlignment="1" applyProtection="1">
      <alignment horizontal="right"/>
      <protection hidden="1"/>
    </xf>
    <xf numFmtId="3" fontId="9" fillId="7" borderId="9" xfId="1" applyNumberFormat="1" applyFont="1" applyFill="1" applyBorder="1" applyAlignment="1" applyProtection="1">
      <alignment horizontal="right"/>
      <protection hidden="1"/>
    </xf>
    <xf numFmtId="9" fontId="9" fillId="7" borderId="9" xfId="1" applyNumberFormat="1" applyFont="1" applyFill="1" applyBorder="1" applyAlignment="1" applyProtection="1">
      <alignment horizontal="right" wrapText="1"/>
      <protection hidden="1"/>
    </xf>
    <xf numFmtId="3" fontId="9" fillId="7" borderId="9" xfId="1" applyNumberFormat="1" applyFont="1" applyFill="1" applyBorder="1" applyAlignment="1" applyProtection="1">
      <alignment horizontal="right" wrapText="1"/>
      <protection hidden="1"/>
    </xf>
    <xf numFmtId="0" fontId="13" fillId="4" borderId="0" xfId="7" applyNumberFormat="1" applyFont="1" applyFill="1" applyBorder="1" applyAlignment="1" applyProtection="1">
      <alignment horizontal="right" wrapText="1"/>
      <protection hidden="1"/>
    </xf>
    <xf numFmtId="0" fontId="13" fillId="4" borderId="61" xfId="0" applyFont="1" applyFill="1" applyBorder="1" applyAlignment="1" applyProtection="1">
      <alignment horizontal="right" wrapText="1"/>
      <protection hidden="1"/>
    </xf>
    <xf numFmtId="0" fontId="13" fillId="0" borderId="0" xfId="7" applyNumberFormat="1" applyFont="1" applyBorder="1" applyAlignment="1" applyProtection="1">
      <alignment horizontal="right" wrapText="1"/>
      <protection hidden="1"/>
    </xf>
    <xf numFmtId="0" fontId="13" fillId="0" borderId="62" xfId="0" applyFont="1" applyBorder="1" applyAlignment="1" applyProtection="1">
      <alignment horizontal="right" wrapText="1"/>
      <protection hidden="1"/>
    </xf>
    <xf numFmtId="0" fontId="13" fillId="4" borderId="62" xfId="0" applyFont="1" applyFill="1" applyBorder="1" applyAlignment="1" applyProtection="1">
      <alignment horizontal="right" wrapText="1"/>
      <protection hidden="1"/>
    </xf>
    <xf numFmtId="165" fontId="28" fillId="7" borderId="0" xfId="4" applyNumberFormat="1" applyFont="1" applyFill="1" applyBorder="1" applyAlignment="1" applyProtection="1">
      <alignment horizontal="right"/>
      <protection hidden="1"/>
    </xf>
    <xf numFmtId="0" fontId="13" fillId="4" borderId="6" xfId="0" applyFont="1" applyFill="1" applyBorder="1" applyAlignment="1" applyProtection="1">
      <alignment horizontal="right" wrapText="1"/>
      <protection hidden="1"/>
    </xf>
    <xf numFmtId="0" fontId="13" fillId="0" borderId="7" xfId="0" applyFont="1" applyBorder="1" applyAlignment="1" applyProtection="1">
      <alignment horizontal="right" wrapText="1"/>
      <protection hidden="1"/>
    </xf>
    <xf numFmtId="0" fontId="13" fillId="4" borderId="7" xfId="0" applyFont="1" applyFill="1" applyBorder="1" applyAlignment="1" applyProtection="1">
      <alignment horizontal="right" wrapText="1"/>
      <protection hidden="1"/>
    </xf>
    <xf numFmtId="9" fontId="13" fillId="7" borderId="3" xfId="2" applyFont="1" applyFill="1" applyBorder="1" applyAlignment="1" applyProtection="1">
      <alignment horizontal="right" wrapText="1"/>
      <protection hidden="1"/>
    </xf>
    <xf numFmtId="9" fontId="13" fillId="4" borderId="10" xfId="1" applyNumberFormat="1" applyFont="1" applyFill="1" applyBorder="1" applyAlignment="1" applyProtection="1">
      <alignment horizontal="left" wrapText="1"/>
      <protection hidden="1"/>
    </xf>
    <xf numFmtId="0" fontId="17" fillId="0" borderId="10" xfId="1" applyNumberFormat="1" applyFont="1" applyBorder="1" applyAlignment="1" applyProtection="1">
      <alignment horizontal="left" wrapText="1"/>
      <protection hidden="1"/>
    </xf>
    <xf numFmtId="0" fontId="17" fillId="4" borderId="10" xfId="1" applyNumberFormat="1" applyFont="1" applyFill="1" applyBorder="1" applyAlignment="1" applyProtection="1">
      <alignment horizontal="left" wrapText="1"/>
      <protection hidden="1"/>
    </xf>
    <xf numFmtId="9" fontId="17" fillId="0" borderId="10" xfId="1" applyNumberFormat="1" applyFont="1" applyBorder="1" applyAlignment="1" applyProtection="1">
      <alignment horizontal="left" wrapText="1"/>
      <protection hidden="1"/>
    </xf>
    <xf numFmtId="9" fontId="17" fillId="4" borderId="10" xfId="1" applyNumberFormat="1" applyFont="1" applyFill="1" applyBorder="1" applyAlignment="1" applyProtection="1">
      <alignment horizontal="left" wrapText="1"/>
      <protection hidden="1"/>
    </xf>
    <xf numFmtId="9" fontId="9" fillId="7" borderId="0" xfId="0" applyNumberFormat="1" applyFont="1" applyFill="1" applyBorder="1" applyAlignment="1" applyProtection="1">
      <alignment horizontal="right"/>
      <protection hidden="1"/>
    </xf>
    <xf numFmtId="0" fontId="9" fillId="0" borderId="50" xfId="1" applyBorder="1" applyProtection="1">
      <protection hidden="1"/>
    </xf>
    <xf numFmtId="0" fontId="9" fillId="0" borderId="1" xfId="1" applyBorder="1" applyProtection="1">
      <protection hidden="1"/>
    </xf>
    <xf numFmtId="0" fontId="20" fillId="4" borderId="10" xfId="1" applyNumberFormat="1" applyFont="1" applyFill="1" applyBorder="1" applyAlignment="1" applyProtection="1">
      <alignment wrapText="1"/>
      <protection hidden="1"/>
    </xf>
    <xf numFmtId="0" fontId="11" fillId="3" borderId="65" xfId="5" applyFont="1" applyFill="1" applyBorder="1" applyAlignment="1" applyProtection="1">
      <alignment horizontal="right" vertical="center" wrapText="1"/>
      <protection hidden="1"/>
    </xf>
    <xf numFmtId="165" fontId="22" fillId="3" borderId="20" xfId="6" applyNumberFormat="1" applyFont="1" applyFill="1" applyBorder="1" applyAlignment="1" applyProtection="1">
      <alignment horizontal="left" wrapText="1"/>
      <protection hidden="1"/>
    </xf>
    <xf numFmtId="0" fontId="22" fillId="3" borderId="17" xfId="1" applyFont="1" applyFill="1" applyBorder="1" applyAlignment="1" applyProtection="1">
      <alignment horizontal="right" wrapText="1"/>
      <protection hidden="1"/>
    </xf>
    <xf numFmtId="0" fontId="13" fillId="0" borderId="0" xfId="0" applyFont="1" applyBorder="1" applyProtection="1">
      <protection hidden="1"/>
    </xf>
    <xf numFmtId="0" fontId="13" fillId="0" borderId="21" xfId="0" applyFont="1" applyBorder="1" applyProtection="1">
      <protection hidden="1"/>
    </xf>
    <xf numFmtId="0" fontId="13" fillId="0" borderId="0" xfId="0" applyFont="1" applyBorder="1" applyAlignment="1" applyProtection="1">
      <alignment horizontal="right"/>
      <protection hidden="1"/>
    </xf>
    <xf numFmtId="0" fontId="13" fillId="0" borderId="21" xfId="0" applyFont="1" applyBorder="1" applyAlignment="1" applyProtection="1">
      <alignment horizontal="right"/>
      <protection hidden="1"/>
    </xf>
    <xf numFmtId="0" fontId="13" fillId="0" borderId="12" xfId="0" applyFont="1" applyBorder="1" applyAlignment="1" applyProtection="1">
      <alignment horizontal="right"/>
      <protection hidden="1"/>
    </xf>
    <xf numFmtId="0" fontId="13" fillId="0" borderId="49" xfId="0" applyFont="1" applyBorder="1" applyAlignment="1" applyProtection="1">
      <alignment horizontal="right"/>
      <protection hidden="1"/>
    </xf>
    <xf numFmtId="9" fontId="0" fillId="7" borderId="0" xfId="0" applyNumberFormat="1" applyFont="1" applyFill="1" applyAlignment="1" applyProtection="1">
      <alignment horizontal="right"/>
      <protection hidden="1"/>
    </xf>
    <xf numFmtId="0" fontId="13" fillId="4" borderId="19" xfId="1" applyNumberFormat="1" applyFont="1" applyFill="1" applyBorder="1" applyAlignment="1" applyProtection="1">
      <alignment horizontal="right" wrapText="1"/>
      <protection hidden="1"/>
    </xf>
    <xf numFmtId="0" fontId="13" fillId="0" borderId="21" xfId="1" applyNumberFormat="1" applyFont="1" applyBorder="1" applyAlignment="1" applyProtection="1">
      <alignment horizontal="right" wrapText="1"/>
      <protection hidden="1"/>
    </xf>
    <xf numFmtId="0" fontId="13" fillId="4" borderId="21" xfId="1" applyNumberFormat="1" applyFont="1" applyFill="1" applyBorder="1" applyAlignment="1" applyProtection="1">
      <alignment horizontal="right" wrapText="1"/>
      <protection hidden="1"/>
    </xf>
    <xf numFmtId="0" fontId="29" fillId="7" borderId="0" xfId="0" applyFont="1" applyFill="1" applyProtection="1">
      <protection hidden="1"/>
    </xf>
    <xf numFmtId="3" fontId="29" fillId="7" borderId="0" xfId="0" applyNumberFormat="1" applyFont="1" applyFill="1" applyAlignment="1" applyProtection="1">
      <alignment horizontal="right"/>
      <protection hidden="1"/>
    </xf>
    <xf numFmtId="0" fontId="29" fillId="7" borderId="0" xfId="0" applyNumberFormat="1" applyFont="1" applyFill="1" applyAlignment="1" applyProtection="1">
      <alignment horizontal="right"/>
      <protection hidden="1"/>
    </xf>
    <xf numFmtId="3" fontId="13" fillId="10" borderId="0" xfId="0" applyNumberFormat="1" applyFont="1" applyFill="1" applyBorder="1" applyAlignment="1" applyProtection="1">
      <alignment wrapText="1"/>
      <protection hidden="1"/>
    </xf>
    <xf numFmtId="0" fontId="11" fillId="0" borderId="0" xfId="1" applyFont="1" applyAlignment="1" applyProtection="1">
      <alignment horizontal="center" wrapText="1"/>
      <protection hidden="1"/>
    </xf>
    <xf numFmtId="0" fontId="13" fillId="0" borderId="9" xfId="0" applyNumberFormat="1" applyFont="1" applyBorder="1" applyAlignment="1" applyProtection="1">
      <alignment horizontal="left" vertical="center" wrapText="1"/>
      <protection hidden="1"/>
    </xf>
    <xf numFmtId="3" fontId="9" fillId="0" borderId="9" xfId="0" applyNumberFormat="1" applyFont="1" applyBorder="1" applyAlignment="1" applyProtection="1">
      <alignment horizontal="right" vertical="center"/>
      <protection hidden="1"/>
    </xf>
    <xf numFmtId="9" fontId="9" fillId="0" borderId="9" xfId="1" applyNumberFormat="1" applyFont="1" applyBorder="1" applyAlignment="1" applyProtection="1">
      <alignment horizontal="right" vertical="center" wrapText="1"/>
      <protection hidden="1"/>
    </xf>
    <xf numFmtId="0" fontId="9" fillId="0" borderId="9" xfId="1" applyNumberFormat="1" applyFont="1" applyBorder="1" applyAlignment="1" applyProtection="1">
      <alignment horizontal="right" vertical="center" wrapText="1"/>
      <protection hidden="1"/>
    </xf>
    <xf numFmtId="0" fontId="9" fillId="0" borderId="0" xfId="1" applyFont="1" applyAlignment="1" applyProtection="1">
      <alignment horizontal="right" vertical="center" wrapText="1"/>
      <protection hidden="1"/>
    </xf>
    <xf numFmtId="9" fontId="13" fillId="0" borderId="0" xfId="0" applyNumberFormat="1" applyFont="1" applyBorder="1" applyAlignment="1" applyProtection="1">
      <alignment horizontal="left" vertical="center" wrapText="1"/>
      <protection hidden="1"/>
    </xf>
    <xf numFmtId="0" fontId="9" fillId="0" borderId="0" xfId="1" applyNumberFormat="1" applyFont="1" applyBorder="1" applyAlignment="1" applyProtection="1">
      <alignment horizontal="right" vertical="center" wrapText="1"/>
      <protection hidden="1"/>
    </xf>
    <xf numFmtId="0" fontId="9" fillId="0" borderId="0" xfId="1" applyFont="1" applyAlignment="1" applyProtection="1">
      <alignment horizontal="right" vertical="center"/>
      <protection hidden="1"/>
    </xf>
    <xf numFmtId="9" fontId="9" fillId="0" borderId="0" xfId="1" applyNumberFormat="1" applyFont="1" applyBorder="1" applyAlignment="1" applyProtection="1">
      <alignment horizontal="left" vertical="center" wrapText="1"/>
      <protection hidden="1"/>
    </xf>
    <xf numFmtId="0" fontId="9" fillId="0" borderId="0" xfId="1" applyNumberFormat="1" applyFont="1" applyFill="1" applyBorder="1" applyAlignment="1" applyProtection="1">
      <alignment horizontal="right" vertical="center" wrapText="1"/>
      <protection hidden="1"/>
    </xf>
    <xf numFmtId="3" fontId="18" fillId="7" borderId="9" xfId="1" applyNumberFormat="1" applyFont="1" applyFill="1" applyBorder="1" applyAlignment="1" applyProtection="1">
      <alignment horizontal="right" vertical="center" wrapText="1"/>
      <protection hidden="1"/>
    </xf>
    <xf numFmtId="0" fontId="9" fillId="0" borderId="0" xfId="1" applyFont="1" applyBorder="1" applyAlignment="1" applyProtection="1">
      <alignment horizontal="right" vertical="center"/>
      <protection hidden="1"/>
    </xf>
    <xf numFmtId="9" fontId="9" fillId="7" borderId="0" xfId="7" applyFont="1" applyFill="1" applyBorder="1" applyAlignment="1" applyProtection="1">
      <alignment horizontal="right"/>
      <protection hidden="1"/>
    </xf>
    <xf numFmtId="0" fontId="9" fillId="3" borderId="18" xfId="1" applyFont="1" applyFill="1" applyBorder="1" applyProtection="1">
      <protection hidden="1"/>
    </xf>
    <xf numFmtId="165" fontId="22" fillId="3" borderId="84" xfId="6" applyNumberFormat="1" applyFont="1" applyFill="1" applyBorder="1" applyAlignment="1" applyProtection="1">
      <alignment horizontal="left" wrapText="1"/>
      <protection hidden="1"/>
    </xf>
    <xf numFmtId="0" fontId="13" fillId="0" borderId="20" xfId="0" applyFont="1" applyBorder="1" applyProtection="1">
      <protection hidden="1"/>
    </xf>
    <xf numFmtId="0" fontId="9" fillId="0" borderId="40" xfId="1" applyFont="1" applyBorder="1" applyProtection="1">
      <protection hidden="1"/>
    </xf>
    <xf numFmtId="0" fontId="13" fillId="0" borderId="48" xfId="0" applyFont="1" applyBorder="1" applyProtection="1">
      <protection hidden="1"/>
    </xf>
    <xf numFmtId="0" fontId="13" fillId="0" borderId="12" xfId="0" applyFont="1" applyBorder="1" applyProtection="1">
      <protection hidden="1"/>
    </xf>
    <xf numFmtId="0" fontId="13" fillId="0" borderId="49" xfId="0" applyFont="1" applyBorder="1" applyProtection="1">
      <protection hidden="1"/>
    </xf>
    <xf numFmtId="0" fontId="13" fillId="4" borderId="0" xfId="1" applyFont="1" applyFill="1" applyBorder="1" applyAlignment="1" applyProtection="1">
      <alignment horizontal="left" wrapText="1"/>
      <protection hidden="1"/>
    </xf>
    <xf numFmtId="0" fontId="13" fillId="0" borderId="0" xfId="1" applyFont="1" applyBorder="1" applyAlignment="1" applyProtection="1">
      <alignment horizontal="left" wrapText="1"/>
      <protection hidden="1"/>
    </xf>
    <xf numFmtId="9" fontId="23" fillId="7" borderId="0" xfId="0" applyNumberFormat="1" applyFont="1" applyFill="1" applyBorder="1" applyAlignment="1" applyProtection="1">
      <alignment horizontal="right"/>
      <protection hidden="1"/>
    </xf>
    <xf numFmtId="0" fontId="29" fillId="7" borderId="0" xfId="0" applyFont="1" applyFill="1" applyBorder="1" applyProtection="1">
      <protection hidden="1"/>
    </xf>
    <xf numFmtId="0" fontId="10" fillId="0" borderId="0" xfId="1" applyFont="1" applyFill="1" applyProtection="1">
      <protection hidden="1"/>
    </xf>
    <xf numFmtId="0" fontId="9" fillId="2" borderId="0" xfId="1" applyFill="1" applyProtection="1">
      <protection hidden="1"/>
    </xf>
    <xf numFmtId="3" fontId="30" fillId="0" borderId="0" xfId="0" applyNumberFormat="1" applyFont="1" applyBorder="1" applyAlignment="1" applyProtection="1">
      <alignment wrapText="1"/>
      <protection hidden="1"/>
    </xf>
    <xf numFmtId="9" fontId="30" fillId="0" borderId="0" xfId="2" applyFont="1" applyBorder="1" applyAlignment="1" applyProtection="1">
      <alignment horizontal="right" wrapText="1"/>
      <protection hidden="1"/>
    </xf>
    <xf numFmtId="3" fontId="31" fillId="0" borderId="0" xfId="0" applyNumberFormat="1" applyFont="1" applyBorder="1" applyProtection="1">
      <protection hidden="1"/>
    </xf>
    <xf numFmtId="9" fontId="13" fillId="0" borderId="0" xfId="0" applyNumberFormat="1" applyFont="1" applyBorder="1" applyAlignment="1" applyProtection="1">
      <alignment wrapText="1"/>
      <protection hidden="1"/>
    </xf>
    <xf numFmtId="9" fontId="9" fillId="0" borderId="0" xfId="1" applyNumberFormat="1" applyBorder="1" applyAlignment="1" applyProtection="1">
      <alignment wrapText="1"/>
      <protection hidden="1"/>
    </xf>
    <xf numFmtId="9" fontId="17" fillId="0" borderId="0" xfId="1" applyNumberFormat="1" applyFont="1" applyFill="1" applyBorder="1" applyAlignment="1" applyProtection="1">
      <alignment horizontal="right" wrapText="1"/>
      <protection hidden="1"/>
    </xf>
    <xf numFmtId="0" fontId="9" fillId="0" borderId="0" xfId="1" applyNumberFormat="1" applyFill="1" applyBorder="1" applyAlignment="1" applyProtection="1">
      <alignment horizontal="right" wrapText="1"/>
      <protection hidden="1"/>
    </xf>
    <xf numFmtId="0" fontId="18" fillId="5" borderId="28" xfId="1" applyNumberFormat="1" applyFont="1" applyFill="1" applyBorder="1" applyAlignment="1" applyProtection="1">
      <alignment vertical="center" wrapText="1"/>
      <protection hidden="1"/>
    </xf>
    <xf numFmtId="0" fontId="18" fillId="5" borderId="29" xfId="1" applyNumberFormat="1" applyFont="1" applyFill="1" applyBorder="1" applyAlignment="1" applyProtection="1">
      <alignment horizontal="right"/>
      <protection hidden="1"/>
    </xf>
    <xf numFmtId="3" fontId="18" fillId="5" borderId="29" xfId="1" applyNumberFormat="1" applyFont="1" applyFill="1" applyBorder="1" applyAlignment="1" applyProtection="1">
      <alignment horizontal="right"/>
      <protection hidden="1"/>
    </xf>
    <xf numFmtId="9" fontId="18" fillId="5" borderId="29" xfId="1" applyNumberFormat="1" applyFont="1" applyFill="1" applyBorder="1" applyAlignment="1" applyProtection="1">
      <alignment horizontal="right" wrapText="1"/>
      <protection hidden="1"/>
    </xf>
    <xf numFmtId="3" fontId="18" fillId="5" borderId="29" xfId="1" applyNumberFormat="1" applyFont="1" applyFill="1" applyBorder="1" applyAlignment="1" applyProtection="1">
      <alignment horizontal="right" wrapText="1"/>
      <protection hidden="1"/>
    </xf>
    <xf numFmtId="9" fontId="18" fillId="5" borderId="30" xfId="1" applyNumberFormat="1" applyFont="1" applyFill="1" applyBorder="1" applyAlignment="1" applyProtection="1">
      <alignment horizontal="right" wrapText="1"/>
      <protection hidden="1"/>
    </xf>
    <xf numFmtId="0" fontId="11" fillId="3" borderId="51" xfId="1" applyFont="1" applyFill="1" applyBorder="1" applyAlignment="1" applyProtection="1">
      <alignment wrapText="1"/>
      <protection hidden="1"/>
    </xf>
    <xf numFmtId="0" fontId="11" fillId="3" borderId="52" xfId="1" applyFont="1" applyFill="1" applyBorder="1" applyAlignment="1" applyProtection="1">
      <alignment wrapText="1"/>
      <protection hidden="1"/>
    </xf>
    <xf numFmtId="0" fontId="11" fillId="3" borderId="53" xfId="1" applyFont="1" applyFill="1" applyBorder="1" applyAlignment="1" applyProtection="1">
      <alignment wrapText="1"/>
      <protection hidden="1"/>
    </xf>
    <xf numFmtId="0" fontId="17" fillId="4" borderId="54" xfId="1" applyNumberFormat="1" applyFont="1" applyFill="1" applyBorder="1" applyAlignment="1" applyProtection="1">
      <alignment wrapText="1"/>
      <protection hidden="1"/>
    </xf>
    <xf numFmtId="0" fontId="13" fillId="4" borderId="0" xfId="2" applyNumberFormat="1" applyFont="1" applyFill="1" applyBorder="1" applyAlignment="1" applyProtection="1">
      <alignment wrapText="1"/>
      <protection hidden="1"/>
    </xf>
    <xf numFmtId="0" fontId="13" fillId="4" borderId="55" xfId="1" applyFont="1" applyFill="1" applyBorder="1" applyAlignment="1" applyProtection="1">
      <alignment wrapText="1"/>
      <protection hidden="1"/>
    </xf>
    <xf numFmtId="9" fontId="17" fillId="0" borderId="54" xfId="1" applyNumberFormat="1" applyFont="1" applyBorder="1" applyAlignment="1" applyProtection="1">
      <alignment wrapText="1"/>
      <protection hidden="1"/>
    </xf>
    <xf numFmtId="0" fontId="13" fillId="0" borderId="0" xfId="2" applyNumberFormat="1" applyFont="1" applyBorder="1" applyAlignment="1" applyProtection="1">
      <alignment wrapText="1"/>
      <protection hidden="1"/>
    </xf>
    <xf numFmtId="0" fontId="13" fillId="0" borderId="56" xfId="1" applyFont="1" applyBorder="1" applyAlignment="1" applyProtection="1">
      <alignment wrapText="1"/>
      <protection hidden="1"/>
    </xf>
    <xf numFmtId="9" fontId="17" fillId="4" borderId="54" xfId="1" applyNumberFormat="1" applyFont="1" applyFill="1" applyBorder="1" applyAlignment="1" applyProtection="1">
      <alignment wrapText="1"/>
      <protection hidden="1"/>
    </xf>
    <xf numFmtId="0" fontId="13" fillId="4" borderId="56" xfId="1" applyFont="1" applyFill="1" applyBorder="1" applyAlignment="1" applyProtection="1">
      <alignment wrapText="1"/>
      <protection hidden="1"/>
    </xf>
    <xf numFmtId="0" fontId="17" fillId="0" borderId="54" xfId="1" applyNumberFormat="1" applyFont="1" applyBorder="1" applyAlignment="1" applyProtection="1">
      <alignment wrapText="1"/>
      <protection hidden="1"/>
    </xf>
    <xf numFmtId="0" fontId="13" fillId="6" borderId="57" xfId="1" applyFont="1" applyFill="1" applyBorder="1" applyAlignment="1" applyProtection="1">
      <alignment wrapText="1"/>
      <protection hidden="1"/>
    </xf>
    <xf numFmtId="165" fontId="13" fillId="6" borderId="55" xfId="4" applyNumberFormat="1" applyFont="1" applyFill="1" applyBorder="1" applyAlignment="1" applyProtection="1">
      <alignment horizontal="right" wrapText="1"/>
      <protection hidden="1"/>
    </xf>
    <xf numFmtId="0" fontId="13" fillId="7" borderId="54" xfId="1" applyFont="1" applyFill="1" applyBorder="1" applyAlignment="1" applyProtection="1">
      <alignment wrapText="1"/>
      <protection hidden="1"/>
    </xf>
    <xf numFmtId="165" fontId="19" fillId="7" borderId="0" xfId="4" applyNumberFormat="1" applyFont="1" applyFill="1" applyBorder="1" applyAlignment="1" applyProtection="1">
      <alignment horizontal="right"/>
      <protection hidden="1"/>
    </xf>
    <xf numFmtId="165" fontId="13" fillId="7" borderId="56" xfId="4" applyNumberFormat="1" applyFont="1" applyFill="1" applyBorder="1" applyAlignment="1" applyProtection="1">
      <alignment horizontal="right" wrapText="1"/>
      <protection hidden="1"/>
    </xf>
    <xf numFmtId="0" fontId="13" fillId="6" borderId="58" xfId="1" applyFont="1" applyFill="1" applyBorder="1" applyAlignment="1" applyProtection="1">
      <alignment wrapText="1"/>
      <protection hidden="1"/>
    </xf>
    <xf numFmtId="165" fontId="13" fillId="6" borderId="59" xfId="4" applyNumberFormat="1" applyFont="1" applyFill="1" applyBorder="1" applyAlignment="1" applyProtection="1">
      <alignment horizontal="right" wrapText="1"/>
      <protection hidden="1"/>
    </xf>
    <xf numFmtId="165" fontId="13" fillId="6" borderId="60" xfId="4" applyNumberFormat="1" applyFont="1" applyFill="1" applyBorder="1" applyAlignment="1" applyProtection="1">
      <alignment horizontal="right" wrapText="1"/>
      <protection hidden="1"/>
    </xf>
    <xf numFmtId="0" fontId="9" fillId="3" borderId="73" xfId="1" applyFill="1" applyBorder="1" applyProtection="1">
      <protection hidden="1"/>
    </xf>
    <xf numFmtId="0" fontId="9" fillId="0" borderId="20" xfId="1" applyFill="1" applyBorder="1" applyProtection="1">
      <protection hidden="1"/>
    </xf>
    <xf numFmtId="0" fontId="9" fillId="0" borderId="0" xfId="1" applyBorder="1" applyProtection="1">
      <protection hidden="1"/>
    </xf>
    <xf numFmtId="0" fontId="9" fillId="0" borderId="21" xfId="1" applyBorder="1" applyProtection="1">
      <protection hidden="1"/>
    </xf>
    <xf numFmtId="0" fontId="9" fillId="0" borderId="48" xfId="1" applyFill="1" applyBorder="1" applyProtection="1">
      <protection hidden="1"/>
    </xf>
    <xf numFmtId="0" fontId="9" fillId="0" borderId="12" xfId="1" applyBorder="1" applyProtection="1">
      <protection hidden="1"/>
    </xf>
    <xf numFmtId="0" fontId="9" fillId="0" borderId="49" xfId="1" applyBorder="1" applyProtection="1">
      <protection hidden="1"/>
    </xf>
    <xf numFmtId="9" fontId="13" fillId="4" borderId="0" xfId="7" applyFont="1" applyFill="1" applyBorder="1" applyAlignment="1" applyProtection="1">
      <alignment horizontal="right" wrapText="1"/>
      <protection hidden="1"/>
    </xf>
    <xf numFmtId="9" fontId="13" fillId="0" borderId="0" xfId="7" applyFont="1" applyBorder="1" applyAlignment="1" applyProtection="1">
      <alignment horizontal="right" wrapText="1"/>
      <protection hidden="1"/>
    </xf>
    <xf numFmtId="0" fontId="13" fillId="0" borderId="10" xfId="1" applyFont="1" applyFill="1" applyBorder="1" applyAlignment="1" applyProtection="1">
      <alignment horizontal="right" wrapText="1"/>
      <protection hidden="1"/>
    </xf>
    <xf numFmtId="0" fontId="0" fillId="7" borderId="0" xfId="0" applyNumberFormat="1" applyFont="1" applyFill="1" applyBorder="1" applyAlignment="1" applyProtection="1">
      <alignment horizontal="right"/>
      <protection hidden="1"/>
    </xf>
    <xf numFmtId="0" fontId="0" fillId="7" borderId="63" xfId="0" applyNumberFormat="1" applyFill="1" applyBorder="1" applyAlignment="1" applyProtection="1">
      <alignment horizontal="right"/>
      <protection hidden="1"/>
    </xf>
    <xf numFmtId="0" fontId="0" fillId="7" borderId="9" xfId="0" applyNumberFormat="1" applyFill="1" applyBorder="1" applyAlignment="1" applyProtection="1">
      <alignment horizontal="right"/>
      <protection hidden="1"/>
    </xf>
    <xf numFmtId="0" fontId="40" fillId="0" borderId="0" xfId="12" applyFont="1" applyProtection="1">
      <protection hidden="1"/>
    </xf>
    <xf numFmtId="0" fontId="36" fillId="0" borderId="0" xfId="12" applyProtection="1">
      <protection hidden="1"/>
    </xf>
    <xf numFmtId="0" fontId="36" fillId="0" borderId="0" xfId="12" applyFill="1" applyProtection="1">
      <protection hidden="1"/>
    </xf>
    <xf numFmtId="0" fontId="22" fillId="0" borderId="0" xfId="18" applyFont="1" applyFill="1" applyProtection="1">
      <protection hidden="1"/>
    </xf>
    <xf numFmtId="0" fontId="23" fillId="0" borderId="0" xfId="19" applyFill="1" applyProtection="1">
      <protection hidden="1"/>
    </xf>
    <xf numFmtId="0" fontId="22" fillId="0" borderId="0" xfId="18" applyFont="1" applyProtection="1">
      <protection hidden="1"/>
    </xf>
    <xf numFmtId="0" fontId="11" fillId="0" borderId="0" xfId="18" applyFont="1" applyFill="1" applyBorder="1" applyAlignment="1" applyProtection="1">
      <alignment wrapText="1"/>
      <protection hidden="1"/>
    </xf>
    <xf numFmtId="9" fontId="8" fillId="0" borderId="0" xfId="20" applyFont="1" applyFill="1" applyProtection="1">
      <protection hidden="1"/>
    </xf>
    <xf numFmtId="0" fontId="22" fillId="0" borderId="0" xfId="18" applyFont="1" applyFill="1" applyAlignment="1" applyProtection="1">
      <alignment wrapText="1"/>
      <protection hidden="1"/>
    </xf>
    <xf numFmtId="0" fontId="11" fillId="3" borderId="3" xfId="18" applyFont="1" applyFill="1" applyBorder="1" applyAlignment="1" applyProtection="1">
      <alignment wrapText="1"/>
      <protection hidden="1"/>
    </xf>
    <xf numFmtId="0" fontId="11" fillId="3" borderId="3" xfId="18" applyFont="1" applyFill="1" applyBorder="1" applyAlignment="1" applyProtection="1">
      <alignment horizontal="right" wrapText="1"/>
      <protection hidden="1"/>
    </xf>
    <xf numFmtId="0" fontId="11" fillId="0" borderId="0" xfId="18" applyFont="1" applyAlignment="1" applyProtection="1">
      <alignment wrapText="1"/>
      <protection hidden="1"/>
    </xf>
    <xf numFmtId="0" fontId="9" fillId="0" borderId="9" xfId="18" applyBorder="1" applyAlignment="1" applyProtection="1">
      <alignment wrapText="1"/>
      <protection hidden="1"/>
    </xf>
    <xf numFmtId="3" fontId="13" fillId="0" borderId="9" xfId="14" applyNumberFormat="1" applyFont="1" applyBorder="1" applyProtection="1">
      <protection hidden="1"/>
    </xf>
    <xf numFmtId="9" fontId="23" fillId="0" borderId="9" xfId="20" applyFont="1" applyBorder="1" applyAlignment="1" applyProtection="1">
      <alignment horizontal="right" wrapText="1"/>
      <protection hidden="1"/>
    </xf>
    <xf numFmtId="3" fontId="9" fillId="0" borderId="9" xfId="14" applyNumberFormat="1" applyFont="1" applyBorder="1" applyAlignment="1" applyProtection="1">
      <alignment horizontal="right" wrapText="1"/>
      <protection hidden="1"/>
    </xf>
    <xf numFmtId="3" fontId="9" fillId="0" borderId="0" xfId="18" applyNumberFormat="1" applyFill="1" applyBorder="1" applyAlignment="1" applyProtection="1">
      <alignment wrapText="1"/>
      <protection hidden="1"/>
    </xf>
    <xf numFmtId="0" fontId="9" fillId="0" borderId="0" xfId="18" applyFill="1" applyBorder="1" applyAlignment="1" applyProtection="1">
      <alignment wrapText="1"/>
      <protection hidden="1"/>
    </xf>
    <xf numFmtId="0" fontId="9" fillId="0" borderId="0" xfId="18" applyAlignment="1" applyProtection="1">
      <alignment wrapText="1"/>
      <protection hidden="1"/>
    </xf>
    <xf numFmtId="0" fontId="9" fillId="0" borderId="0" xfId="18" applyBorder="1" applyAlignment="1" applyProtection="1">
      <alignment wrapText="1"/>
      <protection hidden="1"/>
    </xf>
    <xf numFmtId="3" fontId="13" fillId="0" borderId="0" xfId="14" applyNumberFormat="1" applyFont="1" applyBorder="1" applyProtection="1">
      <protection hidden="1"/>
    </xf>
    <xf numFmtId="9" fontId="23" fillId="0" borderId="0" xfId="20" applyFont="1" applyBorder="1" applyAlignment="1" applyProtection="1">
      <alignment horizontal="right" wrapText="1"/>
      <protection hidden="1"/>
    </xf>
    <xf numFmtId="3" fontId="9" fillId="0" borderId="0" xfId="14" applyNumberFormat="1" applyFont="1" applyBorder="1" applyAlignment="1" applyProtection="1">
      <alignment horizontal="right" wrapText="1"/>
      <protection hidden="1"/>
    </xf>
    <xf numFmtId="3" fontId="13" fillId="0" borderId="0" xfId="14" applyNumberFormat="1" applyFont="1" applyBorder="1" applyAlignment="1" applyProtection="1">
      <alignment wrapText="1"/>
      <protection hidden="1"/>
    </xf>
    <xf numFmtId="0" fontId="9" fillId="0" borderId="0" xfId="18" applyFont="1" applyBorder="1" applyAlignment="1" applyProtection="1">
      <alignment wrapText="1"/>
      <protection hidden="1"/>
    </xf>
    <xf numFmtId="3" fontId="9" fillId="0" borderId="0" xfId="14" applyNumberFormat="1" applyFont="1" applyBorder="1" applyAlignment="1" applyProtection="1">
      <alignment horizontal="right"/>
      <protection hidden="1"/>
    </xf>
    <xf numFmtId="0" fontId="9" fillId="0" borderId="0" xfId="18" applyFill="1" applyAlignment="1" applyProtection="1">
      <alignment wrapText="1"/>
      <protection hidden="1"/>
    </xf>
    <xf numFmtId="0" fontId="9" fillId="0" borderId="0" xfId="18" applyFont="1" applyFill="1" applyAlignment="1" applyProtection="1">
      <protection hidden="1"/>
    </xf>
    <xf numFmtId="0" fontId="46" fillId="0" borderId="0" xfId="18" applyFont="1" applyAlignment="1" applyProtection="1">
      <protection hidden="1"/>
    </xf>
    <xf numFmtId="3" fontId="9" fillId="0" borderId="9" xfId="10" applyNumberFormat="1" applyFill="1" applyBorder="1" applyProtection="1">
      <protection hidden="1"/>
    </xf>
    <xf numFmtId="9" fontId="9" fillId="0" borderId="9" xfId="18" applyNumberFormat="1" applyFill="1" applyBorder="1" applyAlignment="1" applyProtection="1">
      <alignment horizontal="right" wrapText="1"/>
      <protection hidden="1"/>
    </xf>
    <xf numFmtId="3" fontId="9" fillId="0" borderId="0" xfId="10" applyNumberFormat="1" applyFill="1" applyBorder="1" applyProtection="1">
      <protection hidden="1"/>
    </xf>
    <xf numFmtId="9" fontId="9" fillId="0" borderId="0" xfId="18" applyNumberFormat="1" applyFill="1" applyBorder="1" applyAlignment="1" applyProtection="1">
      <alignment horizontal="right" wrapText="1"/>
      <protection hidden="1"/>
    </xf>
    <xf numFmtId="3" fontId="36" fillId="0" borderId="0" xfId="21" applyNumberFormat="1" applyFill="1" applyBorder="1" applyProtection="1">
      <protection hidden="1"/>
    </xf>
    <xf numFmtId="9" fontId="48" fillId="14" borderId="10" xfId="18" applyNumberFormat="1" applyFont="1" applyFill="1" applyBorder="1" applyAlignment="1" applyProtection="1">
      <alignment wrapText="1"/>
      <protection hidden="1"/>
    </xf>
    <xf numFmtId="3" fontId="47" fillId="14" borderId="0" xfId="21" applyNumberFormat="1" applyFont="1" applyFill="1" applyBorder="1" applyProtection="1">
      <protection hidden="1"/>
    </xf>
    <xf numFmtId="3" fontId="48" fillId="14" borderId="0" xfId="18" applyNumberFormat="1" applyFont="1" applyFill="1" applyBorder="1" applyAlignment="1" applyProtection="1">
      <alignment horizontal="right" vertical="center"/>
      <protection hidden="1"/>
    </xf>
    <xf numFmtId="9" fontId="21" fillId="14" borderId="0" xfId="18" applyNumberFormat="1" applyFont="1" applyFill="1" applyBorder="1" applyAlignment="1" applyProtection="1">
      <alignment horizontal="right" wrapText="1"/>
      <protection hidden="1"/>
    </xf>
    <xf numFmtId="3" fontId="21" fillId="14" borderId="0" xfId="18" applyNumberFormat="1" applyFont="1" applyFill="1" applyBorder="1" applyAlignment="1" applyProtection="1">
      <alignment horizontal="right" wrapText="1"/>
      <protection hidden="1"/>
    </xf>
    <xf numFmtId="9" fontId="48" fillId="14" borderId="16" xfId="18" applyNumberFormat="1" applyFont="1" applyFill="1" applyBorder="1" applyAlignment="1" applyProtection="1">
      <alignment horizontal="right" wrapText="1"/>
      <protection hidden="1"/>
    </xf>
    <xf numFmtId="0" fontId="47" fillId="0" borderId="0" xfId="12" applyFont="1" applyProtection="1">
      <protection hidden="1"/>
    </xf>
    <xf numFmtId="0" fontId="9" fillId="14" borderId="2" xfId="18" applyNumberFormat="1" applyFont="1" applyFill="1" applyBorder="1" applyAlignment="1" applyProtection="1">
      <alignment vertical="center" wrapText="1"/>
      <protection hidden="1"/>
    </xf>
    <xf numFmtId="3" fontId="13" fillId="14" borderId="3" xfId="18" applyNumberFormat="1" applyFont="1" applyFill="1" applyBorder="1" applyAlignment="1" applyProtection="1">
      <alignment horizontal="right"/>
      <protection hidden="1"/>
    </xf>
    <xf numFmtId="3" fontId="9" fillId="14" borderId="3" xfId="18" applyNumberFormat="1" applyFont="1" applyFill="1" applyBorder="1" applyAlignment="1" applyProtection="1">
      <alignment horizontal="right"/>
      <protection hidden="1"/>
    </xf>
    <xf numFmtId="9" fontId="9" fillId="14" borderId="3" xfId="18" applyNumberFormat="1" applyFill="1" applyBorder="1" applyAlignment="1" applyProtection="1">
      <alignment horizontal="right" wrapText="1"/>
      <protection hidden="1"/>
    </xf>
    <xf numFmtId="3" fontId="9" fillId="14" borderId="3" xfId="18" applyNumberFormat="1" applyFill="1" applyBorder="1" applyAlignment="1" applyProtection="1">
      <alignment horizontal="right" wrapText="1"/>
      <protection hidden="1"/>
    </xf>
    <xf numFmtId="9" fontId="9" fillId="14" borderId="4" xfId="18" applyNumberFormat="1" applyFont="1" applyFill="1" applyBorder="1" applyAlignment="1" applyProtection="1">
      <alignment horizontal="right" wrapText="1"/>
      <protection hidden="1"/>
    </xf>
    <xf numFmtId="0" fontId="46" fillId="0" borderId="0" xfId="18" applyFont="1" applyAlignment="1" applyProtection="1">
      <alignment horizontal="left"/>
      <protection hidden="1"/>
    </xf>
    <xf numFmtId="0" fontId="43" fillId="0" borderId="0" xfId="18" applyFont="1" applyProtection="1">
      <protection hidden="1"/>
    </xf>
    <xf numFmtId="0" fontId="11" fillId="3" borderId="28" xfId="18" applyFont="1" applyFill="1" applyBorder="1" applyAlignment="1" applyProtection="1">
      <alignment wrapText="1"/>
      <protection hidden="1"/>
    </xf>
    <xf numFmtId="0" fontId="11" fillId="3" borderId="29" xfId="18" applyFont="1" applyFill="1" applyBorder="1" applyAlignment="1" applyProtection="1">
      <alignment horizontal="right" wrapText="1"/>
      <protection hidden="1"/>
    </xf>
    <xf numFmtId="0" fontId="11" fillId="3" borderId="30" xfId="18" applyFont="1" applyFill="1" applyBorder="1" applyAlignment="1" applyProtection="1">
      <alignment horizontal="right" wrapText="1"/>
      <protection hidden="1"/>
    </xf>
    <xf numFmtId="0" fontId="9" fillId="16" borderId="90" xfId="11" applyNumberFormat="1" applyFont="1" applyFill="1" applyBorder="1" applyAlignment="1" applyProtection="1">
      <alignment vertical="center" wrapText="1"/>
      <protection hidden="1"/>
    </xf>
    <xf numFmtId="3" fontId="9" fillId="16" borderId="93" xfId="10" applyNumberFormat="1" applyFont="1" applyFill="1" applyBorder="1" applyAlignment="1" applyProtection="1">
      <protection hidden="1"/>
    </xf>
    <xf numFmtId="3" fontId="9" fillId="16" borderId="95" xfId="10" applyNumberFormat="1" applyFont="1" applyFill="1" applyBorder="1" applyAlignment="1" applyProtection="1">
      <protection hidden="1"/>
    </xf>
    <xf numFmtId="0" fontId="9" fillId="0" borderId="92" xfId="11" applyNumberFormat="1" applyFont="1" applyFill="1" applyBorder="1" applyAlignment="1" applyProtection="1">
      <alignment vertical="center" wrapText="1"/>
      <protection hidden="1"/>
    </xf>
    <xf numFmtId="3" fontId="9" fillId="0" borderId="93" xfId="10" applyNumberFormat="1" applyFont="1" applyFill="1" applyBorder="1" applyAlignment="1" applyProtection="1">
      <protection hidden="1"/>
    </xf>
    <xf numFmtId="3" fontId="9" fillId="0" borderId="95" xfId="10" applyNumberFormat="1" applyFont="1" applyFill="1" applyBorder="1" applyAlignment="1" applyProtection="1">
      <protection hidden="1"/>
    </xf>
    <xf numFmtId="0" fontId="9" fillId="16" borderId="92" xfId="11" applyNumberFormat="1" applyFont="1" applyFill="1" applyBorder="1" applyAlignment="1" applyProtection="1">
      <alignment vertical="center" wrapText="1"/>
      <protection hidden="1"/>
    </xf>
    <xf numFmtId="0" fontId="9" fillId="14" borderId="10" xfId="11" applyFont="1" applyFill="1" applyBorder="1" applyAlignment="1" applyProtection="1">
      <alignment vertical="center" wrapText="1"/>
      <protection hidden="1"/>
    </xf>
    <xf numFmtId="3" fontId="43" fillId="14" borderId="0" xfId="10" applyNumberFormat="1" applyFont="1" applyFill="1" applyBorder="1" applyProtection="1">
      <protection hidden="1"/>
    </xf>
    <xf numFmtId="3" fontId="43" fillId="14" borderId="16" xfId="10" applyNumberFormat="1" applyFont="1" applyFill="1" applyBorder="1" applyProtection="1">
      <protection hidden="1"/>
    </xf>
    <xf numFmtId="0" fontId="13" fillId="14" borderId="10" xfId="18" applyFont="1" applyFill="1" applyBorder="1" applyAlignment="1" applyProtection="1">
      <alignment wrapText="1"/>
      <protection hidden="1"/>
    </xf>
    <xf numFmtId="0" fontId="13" fillId="14" borderId="2" xfId="18" applyFont="1" applyFill="1" applyBorder="1" applyAlignment="1" applyProtection="1">
      <alignment wrapText="1"/>
      <protection hidden="1"/>
    </xf>
    <xf numFmtId="3" fontId="36" fillId="14" borderId="3" xfId="19" applyNumberFormat="1" applyFont="1" applyFill="1" applyBorder="1" applyProtection="1">
      <protection hidden="1"/>
    </xf>
    <xf numFmtId="3" fontId="36" fillId="14" borderId="4" xfId="19" applyNumberFormat="1" applyFont="1" applyFill="1" applyBorder="1" applyProtection="1">
      <protection hidden="1"/>
    </xf>
    <xf numFmtId="0" fontId="22" fillId="10" borderId="0" xfId="10" applyNumberFormat="1" applyFont="1" applyFill="1" applyProtection="1">
      <protection hidden="1"/>
    </xf>
    <xf numFmtId="0" fontId="11" fillId="3" borderId="8" xfId="18" applyFont="1" applyFill="1" applyBorder="1" applyAlignment="1" applyProtection="1">
      <alignment wrapText="1"/>
      <protection hidden="1"/>
    </xf>
    <xf numFmtId="0" fontId="11" fillId="3" borderId="9" xfId="18" applyFont="1" applyFill="1" applyBorder="1" applyAlignment="1" applyProtection="1">
      <alignment horizontal="right" wrapText="1"/>
      <protection hidden="1"/>
    </xf>
    <xf numFmtId="0" fontId="11" fillId="3" borderId="22" xfId="18" applyFont="1" applyFill="1" applyBorder="1" applyAlignment="1" applyProtection="1">
      <alignment horizontal="right" wrapText="1"/>
      <protection hidden="1"/>
    </xf>
    <xf numFmtId="0" fontId="9" fillId="16" borderId="10" xfId="11" applyNumberFormat="1" applyFont="1" applyFill="1" applyBorder="1" applyAlignment="1" applyProtection="1">
      <alignment vertical="center" wrapText="1"/>
      <protection hidden="1"/>
    </xf>
    <xf numFmtId="9" fontId="9" fillId="16" borderId="0" xfId="18" applyNumberFormat="1" applyFont="1" applyFill="1" applyBorder="1" applyAlignment="1" applyProtection="1">
      <alignment horizontal="right" wrapText="1"/>
      <protection hidden="1"/>
    </xf>
    <xf numFmtId="3" fontId="9" fillId="16" borderId="16" xfId="10" applyNumberFormat="1" applyFont="1" applyFill="1" applyBorder="1" applyAlignment="1" applyProtection="1">
      <protection hidden="1"/>
    </xf>
    <xf numFmtId="0" fontId="9" fillId="0" borderId="10" xfId="11" applyNumberFormat="1" applyFont="1" applyFill="1" applyBorder="1" applyAlignment="1" applyProtection="1">
      <alignment vertical="center" wrapText="1"/>
      <protection hidden="1"/>
    </xf>
    <xf numFmtId="9" fontId="9" fillId="0" borderId="0" xfId="18" applyNumberFormat="1" applyFont="1" applyBorder="1" applyAlignment="1" applyProtection="1">
      <alignment horizontal="right" wrapText="1"/>
      <protection hidden="1"/>
    </xf>
    <xf numFmtId="3" fontId="9" fillId="0" borderId="16" xfId="10" applyNumberFormat="1" applyFont="1" applyFill="1" applyBorder="1" applyAlignment="1" applyProtection="1">
      <protection hidden="1"/>
    </xf>
    <xf numFmtId="9" fontId="13" fillId="14" borderId="0" xfId="20" applyFont="1" applyFill="1" applyBorder="1" applyAlignment="1" applyProtection="1">
      <alignment horizontal="right" wrapText="1"/>
      <protection hidden="1"/>
    </xf>
    <xf numFmtId="3" fontId="13" fillId="14" borderId="16" xfId="18" applyNumberFormat="1" applyFont="1" applyFill="1" applyBorder="1" applyAlignment="1" applyProtection="1">
      <alignment horizontal="right" wrapText="1"/>
      <protection hidden="1"/>
    </xf>
    <xf numFmtId="3" fontId="13" fillId="14" borderId="16" xfId="22" applyNumberFormat="1" applyFont="1" applyFill="1" applyBorder="1" applyAlignment="1" applyProtection="1">
      <alignment horizontal="right" wrapText="1"/>
      <protection hidden="1"/>
    </xf>
    <xf numFmtId="9" fontId="13" fillId="14" borderId="3" xfId="20" applyFont="1" applyFill="1" applyBorder="1" applyAlignment="1" applyProtection="1">
      <alignment horizontal="right" wrapText="1"/>
      <protection hidden="1"/>
    </xf>
    <xf numFmtId="3" fontId="13" fillId="14" borderId="4" xfId="18" applyNumberFormat="1" applyFont="1" applyFill="1" applyBorder="1" applyAlignment="1" applyProtection="1">
      <alignment horizontal="right" wrapText="1"/>
      <protection hidden="1"/>
    </xf>
    <xf numFmtId="0" fontId="46" fillId="0" borderId="0" xfId="18" applyFont="1" applyProtection="1">
      <protection hidden="1"/>
    </xf>
    <xf numFmtId="0" fontId="11" fillId="3" borderId="28" xfId="18" applyFont="1" applyFill="1" applyBorder="1" applyAlignment="1" applyProtection="1">
      <alignment horizontal="left" wrapText="1"/>
      <protection hidden="1"/>
    </xf>
    <xf numFmtId="0" fontId="9" fillId="0" borderId="96" xfId="11" applyNumberFormat="1" applyFont="1" applyFill="1" applyBorder="1" applyAlignment="1" applyProtection="1">
      <alignment vertical="center" wrapText="1"/>
      <protection hidden="1"/>
    </xf>
    <xf numFmtId="3" fontId="9" fillId="0" borderId="89" xfId="10" applyNumberFormat="1" applyFont="1" applyFill="1" applyBorder="1" applyAlignment="1" applyProtection="1">
      <protection hidden="1"/>
    </xf>
    <xf numFmtId="3" fontId="9" fillId="0" borderId="97" xfId="10" applyNumberFormat="1" applyFont="1" applyFill="1" applyBorder="1" applyAlignment="1" applyProtection="1">
      <protection hidden="1"/>
    </xf>
    <xf numFmtId="0" fontId="13" fillId="0" borderId="0" xfId="18" applyNumberFormat="1" applyFont="1" applyAlignment="1" applyProtection="1">
      <alignment wrapText="1"/>
      <protection hidden="1"/>
    </xf>
    <xf numFmtId="0" fontId="13" fillId="0" borderId="0" xfId="18" applyFont="1" applyAlignment="1" applyProtection="1">
      <alignment wrapText="1"/>
      <protection hidden="1"/>
    </xf>
    <xf numFmtId="9" fontId="13" fillId="0" borderId="0" xfId="20" applyFont="1" applyAlignment="1" applyProtection="1">
      <alignment wrapText="1"/>
      <protection hidden="1"/>
    </xf>
    <xf numFmtId="0" fontId="11" fillId="3" borderId="8" xfId="18" applyFont="1" applyFill="1" applyBorder="1" applyAlignment="1" applyProtection="1">
      <alignment horizontal="left" wrapText="1"/>
      <protection hidden="1"/>
    </xf>
    <xf numFmtId="0" fontId="9" fillId="16" borderId="109" xfId="11" applyNumberFormat="1" applyFont="1" applyFill="1" applyBorder="1" applyAlignment="1" applyProtection="1">
      <alignment vertical="center" wrapText="1"/>
      <protection hidden="1"/>
    </xf>
    <xf numFmtId="9" fontId="9" fillId="16" borderId="9" xfId="18" applyNumberFormat="1" applyFont="1" applyFill="1" applyBorder="1" applyAlignment="1" applyProtection="1">
      <alignment horizontal="right" wrapText="1"/>
      <protection hidden="1"/>
    </xf>
    <xf numFmtId="3" fontId="9" fillId="16" borderId="22" xfId="10" applyNumberFormat="1" applyFont="1" applyFill="1" applyBorder="1" applyAlignment="1" applyProtection="1">
      <protection hidden="1"/>
    </xf>
    <xf numFmtId="9" fontId="23" fillId="0" borderId="0" xfId="19" applyNumberFormat="1" applyProtection="1">
      <protection hidden="1"/>
    </xf>
    <xf numFmtId="0" fontId="9" fillId="0" borderId="110" xfId="11" applyNumberFormat="1" applyFont="1" applyFill="1" applyBorder="1" applyAlignment="1" applyProtection="1">
      <alignment vertical="center" wrapText="1"/>
      <protection hidden="1"/>
    </xf>
    <xf numFmtId="0" fontId="9" fillId="16" borderId="110" xfId="11" applyNumberFormat="1" applyFont="1" applyFill="1" applyBorder="1" applyAlignment="1" applyProtection="1">
      <alignment vertical="center" wrapText="1"/>
      <protection hidden="1"/>
    </xf>
    <xf numFmtId="0" fontId="9" fillId="0" borderId="111" xfId="11" applyNumberFormat="1" applyFont="1" applyFill="1" applyBorder="1" applyAlignment="1" applyProtection="1">
      <alignment vertical="center" wrapText="1"/>
      <protection hidden="1"/>
    </xf>
    <xf numFmtId="9" fontId="9" fillId="0" borderId="3" xfId="18" applyNumberFormat="1" applyFont="1" applyBorder="1" applyAlignment="1" applyProtection="1">
      <alignment horizontal="right" wrapText="1"/>
      <protection hidden="1"/>
    </xf>
    <xf numFmtId="3" fontId="9" fillId="0" borderId="4" xfId="10" applyNumberFormat="1" applyFont="1" applyFill="1" applyBorder="1" applyAlignment="1" applyProtection="1">
      <protection hidden="1"/>
    </xf>
    <xf numFmtId="0" fontId="11" fillId="3" borderId="28" xfId="18" applyFont="1" applyFill="1" applyBorder="1" applyAlignment="1" applyProtection="1">
      <alignment horizontal="right" wrapText="1"/>
      <protection hidden="1"/>
    </xf>
    <xf numFmtId="3" fontId="9" fillId="16" borderId="91" xfId="10" applyNumberFormat="1" applyFont="1" applyFill="1" applyBorder="1" applyAlignment="1" applyProtection="1">
      <protection hidden="1"/>
    </xf>
    <xf numFmtId="9" fontId="9" fillId="16" borderId="94" xfId="18" applyNumberFormat="1" applyFont="1" applyFill="1" applyBorder="1" applyAlignment="1" applyProtection="1">
      <alignment horizontal="right" wrapText="1"/>
      <protection hidden="1"/>
    </xf>
    <xf numFmtId="9" fontId="9" fillId="0" borderId="95" xfId="18" applyNumberFormat="1" applyFont="1" applyBorder="1" applyAlignment="1" applyProtection="1">
      <alignment horizontal="right" wrapText="1"/>
      <protection hidden="1"/>
    </xf>
    <xf numFmtId="9" fontId="9" fillId="16" borderId="95" xfId="18" applyNumberFormat="1" applyFont="1" applyFill="1" applyBorder="1" applyAlignment="1" applyProtection="1">
      <alignment horizontal="right" wrapText="1"/>
      <protection hidden="1"/>
    </xf>
    <xf numFmtId="0" fontId="9" fillId="0" borderId="106" xfId="11" applyNumberFormat="1" applyFont="1" applyFill="1" applyBorder="1" applyAlignment="1" applyProtection="1">
      <alignment vertical="center" wrapText="1"/>
      <protection hidden="1"/>
    </xf>
    <xf numFmtId="3" fontId="9" fillId="0" borderId="105" xfId="10" applyNumberFormat="1" applyFont="1" applyFill="1" applyBorder="1" applyAlignment="1" applyProtection="1">
      <protection hidden="1"/>
    </xf>
    <xf numFmtId="9" fontId="9" fillId="0" borderId="107" xfId="18" applyNumberFormat="1" applyFont="1" applyBorder="1" applyAlignment="1" applyProtection="1">
      <alignment horizontal="right" wrapText="1"/>
      <protection hidden="1"/>
    </xf>
    <xf numFmtId="9" fontId="9" fillId="0" borderId="97" xfId="18" applyNumberFormat="1" applyFont="1" applyBorder="1" applyAlignment="1" applyProtection="1">
      <alignment horizontal="right" wrapText="1"/>
      <protection hidden="1"/>
    </xf>
    <xf numFmtId="0" fontId="9" fillId="16" borderId="102" xfId="11" applyNumberFormat="1" applyFont="1" applyFill="1" applyBorder="1" applyAlignment="1" applyProtection="1">
      <alignment vertical="center" wrapText="1"/>
      <protection hidden="1"/>
    </xf>
    <xf numFmtId="3" fontId="9" fillId="16" borderId="103" xfId="10" applyNumberFormat="1" applyFont="1" applyFill="1" applyBorder="1" applyAlignment="1" applyProtection="1">
      <protection hidden="1"/>
    </xf>
    <xf numFmtId="9" fontId="9" fillId="16" borderId="104" xfId="18" applyNumberFormat="1" applyFont="1" applyFill="1" applyBorder="1" applyAlignment="1" applyProtection="1">
      <alignment horizontal="right" wrapText="1"/>
      <protection hidden="1"/>
    </xf>
    <xf numFmtId="3" fontId="9" fillId="16" borderId="0" xfId="10" applyNumberFormat="1" applyFont="1" applyFill="1" applyBorder="1" applyAlignment="1" applyProtection="1">
      <protection hidden="1"/>
    </xf>
    <xf numFmtId="9" fontId="9" fillId="16" borderId="16" xfId="18" applyNumberFormat="1" applyFont="1" applyFill="1" applyBorder="1" applyAlignment="1" applyProtection="1">
      <alignment horizontal="right" wrapText="1"/>
      <protection hidden="1"/>
    </xf>
    <xf numFmtId="9" fontId="9" fillId="0" borderId="93" xfId="18" applyNumberFormat="1" applyFont="1" applyBorder="1" applyAlignment="1" applyProtection="1">
      <alignment horizontal="right" wrapText="1"/>
      <protection hidden="1"/>
    </xf>
    <xf numFmtId="3" fontId="9" fillId="0" borderId="90" xfId="10" applyNumberFormat="1" applyFont="1" applyFill="1" applyBorder="1" applyAlignment="1" applyProtection="1">
      <protection hidden="1"/>
    </xf>
    <xf numFmtId="9" fontId="9" fillId="0" borderId="94" xfId="18" applyNumberFormat="1" applyFont="1" applyBorder="1" applyAlignment="1" applyProtection="1">
      <alignment horizontal="right" wrapText="1"/>
      <protection hidden="1"/>
    </xf>
    <xf numFmtId="9" fontId="9" fillId="16" borderId="93" xfId="18" applyNumberFormat="1" applyFont="1" applyFill="1" applyBorder="1" applyAlignment="1" applyProtection="1">
      <alignment horizontal="right" wrapText="1"/>
      <protection hidden="1"/>
    </xf>
    <xf numFmtId="3" fontId="9" fillId="16" borderId="92" xfId="10" applyNumberFormat="1" applyFont="1" applyFill="1" applyBorder="1" applyAlignment="1" applyProtection="1">
      <protection hidden="1"/>
    </xf>
    <xf numFmtId="3" fontId="9" fillId="0" borderId="92" xfId="10" applyNumberFormat="1" applyFont="1" applyFill="1" applyBorder="1" applyAlignment="1" applyProtection="1">
      <protection hidden="1"/>
    </xf>
    <xf numFmtId="9" fontId="9" fillId="0" borderId="105" xfId="18" applyNumberFormat="1" applyFont="1" applyBorder="1" applyAlignment="1" applyProtection="1">
      <alignment horizontal="right" wrapText="1"/>
      <protection hidden="1"/>
    </xf>
    <xf numFmtId="3" fontId="9" fillId="0" borderId="106" xfId="10" applyNumberFormat="1" applyFont="1" applyFill="1" applyBorder="1" applyAlignment="1" applyProtection="1">
      <protection hidden="1"/>
    </xf>
    <xf numFmtId="0" fontId="9" fillId="16" borderId="2" xfId="11" applyNumberFormat="1" applyFont="1" applyFill="1" applyBorder="1" applyAlignment="1" applyProtection="1">
      <alignment vertical="center" wrapText="1"/>
      <protection hidden="1"/>
    </xf>
    <xf numFmtId="3" fontId="9" fillId="16" borderId="3" xfId="10" applyNumberFormat="1" applyFont="1" applyFill="1" applyBorder="1" applyAlignment="1" applyProtection="1">
      <protection hidden="1"/>
    </xf>
    <xf numFmtId="9" fontId="9" fillId="16" borderId="3" xfId="18" applyNumberFormat="1" applyFont="1" applyFill="1" applyBorder="1" applyAlignment="1" applyProtection="1">
      <alignment horizontal="right" wrapText="1"/>
      <protection hidden="1"/>
    </xf>
    <xf numFmtId="3" fontId="9" fillId="16" borderId="2" xfId="10" applyNumberFormat="1" applyFont="1" applyFill="1" applyBorder="1" applyAlignment="1" applyProtection="1">
      <protection hidden="1"/>
    </xf>
    <xf numFmtId="9" fontId="9" fillId="16" borderId="4" xfId="18" applyNumberFormat="1" applyFont="1" applyFill="1" applyBorder="1" applyAlignment="1" applyProtection="1">
      <alignment horizontal="right" wrapText="1"/>
      <protection hidden="1"/>
    </xf>
    <xf numFmtId="0" fontId="21" fillId="14" borderId="8" xfId="18" applyFont="1" applyFill="1" applyBorder="1" applyAlignment="1" applyProtection="1">
      <alignment wrapText="1"/>
      <protection hidden="1"/>
    </xf>
    <xf numFmtId="3" fontId="48" fillId="14" borderId="9" xfId="10" applyNumberFormat="1" applyFont="1" applyFill="1" applyBorder="1" applyProtection="1">
      <protection hidden="1"/>
    </xf>
    <xf numFmtId="9" fontId="13" fillId="14" borderId="9" xfId="18" applyNumberFormat="1" applyFont="1" applyFill="1" applyBorder="1" applyAlignment="1" applyProtection="1">
      <alignment wrapText="1"/>
      <protection hidden="1"/>
    </xf>
    <xf numFmtId="3" fontId="21" fillId="14" borderId="8" xfId="18" applyNumberFormat="1" applyFont="1" applyFill="1" applyBorder="1" applyAlignment="1" applyProtection="1">
      <alignment wrapText="1"/>
      <protection hidden="1"/>
    </xf>
    <xf numFmtId="9" fontId="21" fillId="14" borderId="22" xfId="20" applyFont="1" applyFill="1" applyBorder="1" applyAlignment="1" applyProtection="1">
      <alignment wrapText="1"/>
      <protection hidden="1"/>
    </xf>
    <xf numFmtId="3" fontId="13" fillId="14" borderId="3" xfId="19" applyNumberFormat="1" applyFont="1" applyFill="1" applyBorder="1" applyProtection="1">
      <protection hidden="1"/>
    </xf>
    <xf numFmtId="9" fontId="13" fillId="14" borderId="3" xfId="18" applyNumberFormat="1" applyFont="1" applyFill="1" applyBorder="1" applyAlignment="1" applyProtection="1">
      <alignment wrapText="1"/>
      <protection hidden="1"/>
    </xf>
    <xf numFmtId="9" fontId="13" fillId="14" borderId="4" xfId="20" applyFont="1" applyFill="1" applyBorder="1" applyAlignment="1" applyProtection="1">
      <alignment wrapText="1"/>
      <protection hidden="1"/>
    </xf>
    <xf numFmtId="0" fontId="13" fillId="0" borderId="0" xfId="18" applyFont="1" applyFill="1" applyAlignment="1" applyProtection="1">
      <alignment wrapText="1"/>
      <protection hidden="1"/>
    </xf>
    <xf numFmtId="9" fontId="13" fillId="0" borderId="0" xfId="18" applyNumberFormat="1" applyFont="1" applyFill="1" applyAlignment="1" applyProtection="1">
      <alignment wrapText="1"/>
      <protection hidden="1"/>
    </xf>
    <xf numFmtId="9" fontId="13" fillId="0" borderId="0" xfId="20" applyFont="1" applyFill="1" applyAlignment="1" applyProtection="1">
      <alignment wrapText="1"/>
      <protection hidden="1"/>
    </xf>
    <xf numFmtId="9" fontId="13" fillId="0" borderId="0" xfId="18" applyNumberFormat="1" applyFont="1" applyAlignment="1" applyProtection="1">
      <alignment wrapText="1"/>
      <protection hidden="1"/>
    </xf>
    <xf numFmtId="0" fontId="19" fillId="0" borderId="0" xfId="18" applyFont="1" applyAlignment="1" applyProtection="1">
      <alignment wrapText="1"/>
      <protection hidden="1"/>
    </xf>
    <xf numFmtId="0" fontId="13" fillId="4" borderId="8" xfId="1" applyNumberFormat="1" applyFont="1" applyFill="1" applyBorder="1" applyAlignment="1" applyProtection="1">
      <alignment horizontal="right" wrapText="1"/>
      <protection hidden="1"/>
    </xf>
    <xf numFmtId="0" fontId="13" fillId="4" borderId="22" xfId="1" applyNumberFormat="1" applyFont="1" applyFill="1" applyBorder="1" applyAlignment="1" applyProtection="1">
      <alignment horizontal="right" wrapText="1"/>
      <protection hidden="1"/>
    </xf>
    <xf numFmtId="165" fontId="13" fillId="0" borderId="10" xfId="6" applyNumberFormat="1" applyFont="1" applyBorder="1" applyAlignment="1" applyProtection="1">
      <alignment horizontal="right" wrapText="1"/>
      <protection hidden="1"/>
    </xf>
    <xf numFmtId="165" fontId="13" fillId="0" borderId="16" xfId="6" applyNumberFormat="1" applyFont="1" applyBorder="1" applyAlignment="1" applyProtection="1">
      <alignment horizontal="right" wrapText="1"/>
      <protection hidden="1"/>
    </xf>
    <xf numFmtId="165" fontId="13" fillId="4" borderId="10" xfId="6" applyNumberFormat="1" applyFont="1" applyFill="1" applyBorder="1" applyAlignment="1" applyProtection="1">
      <alignment horizontal="right" wrapText="1"/>
      <protection hidden="1"/>
    </xf>
    <xf numFmtId="165" fontId="13" fillId="4" borderId="16" xfId="6" applyNumberFormat="1" applyFont="1" applyFill="1" applyBorder="1" applyAlignment="1" applyProtection="1">
      <alignment horizontal="right" wrapText="1"/>
      <protection hidden="1"/>
    </xf>
    <xf numFmtId="0" fontId="13" fillId="0" borderId="8" xfId="1" applyNumberFormat="1" applyFont="1" applyBorder="1" applyAlignment="1" applyProtection="1">
      <alignment horizontal="right" wrapText="1"/>
      <protection hidden="1"/>
    </xf>
    <xf numFmtId="0" fontId="20" fillId="0" borderId="22" xfId="1" applyNumberFormat="1" applyFont="1" applyBorder="1" applyAlignment="1" applyProtection="1">
      <alignment wrapText="1"/>
      <protection hidden="1"/>
    </xf>
    <xf numFmtId="0" fontId="13" fillId="4" borderId="16" xfId="1" applyNumberFormat="1" applyFont="1" applyFill="1" applyBorder="1" applyAlignment="1" applyProtection="1">
      <alignment wrapText="1"/>
      <protection hidden="1"/>
    </xf>
    <xf numFmtId="0" fontId="13" fillId="0" borderId="16" xfId="1" applyNumberFormat="1" applyFont="1" applyBorder="1" applyAlignment="1" applyProtection="1">
      <alignment wrapText="1"/>
      <protection hidden="1"/>
    </xf>
    <xf numFmtId="9" fontId="21" fillId="0" borderId="4" xfId="7" applyFont="1" applyBorder="1" applyAlignment="1" applyProtection="1">
      <alignment wrapText="1"/>
      <protection hidden="1"/>
    </xf>
    <xf numFmtId="0" fontId="20" fillId="4" borderId="22" xfId="1" applyNumberFormat="1" applyFont="1" applyFill="1" applyBorder="1" applyAlignment="1" applyProtection="1">
      <alignment wrapText="1"/>
      <protection hidden="1"/>
    </xf>
    <xf numFmtId="9" fontId="21" fillId="4" borderId="4" xfId="7" applyFont="1" applyFill="1" applyBorder="1" applyAlignment="1" applyProtection="1">
      <alignment wrapText="1"/>
      <protection hidden="1"/>
    </xf>
    <xf numFmtId="0" fontId="9" fillId="0" borderId="0" xfId="18" applyAlignment="1" applyProtection="1">
      <protection hidden="1"/>
    </xf>
    <xf numFmtId="0" fontId="9" fillId="0" borderId="0" xfId="18" applyProtection="1">
      <protection hidden="1"/>
    </xf>
    <xf numFmtId="0" fontId="23" fillId="0" borderId="0" xfId="19" applyBorder="1" applyProtection="1">
      <protection hidden="1"/>
    </xf>
    <xf numFmtId="0" fontId="9" fillId="3" borderId="87" xfId="18" applyFont="1" applyFill="1" applyBorder="1" applyProtection="1">
      <protection hidden="1"/>
    </xf>
    <xf numFmtId="0" fontId="22" fillId="3" borderId="85" xfId="16" applyFont="1" applyFill="1" applyBorder="1" applyAlignment="1" applyProtection="1">
      <alignment horizontal="right" vertical="center" wrapText="1"/>
      <protection hidden="1"/>
    </xf>
    <xf numFmtId="0" fontId="22" fillId="3" borderId="5" xfId="16" applyFont="1" applyFill="1" applyBorder="1" applyAlignment="1" applyProtection="1">
      <alignment horizontal="right" vertical="center" wrapText="1"/>
      <protection hidden="1"/>
    </xf>
    <xf numFmtId="0" fontId="22" fillId="3" borderId="19" xfId="16" applyFont="1" applyFill="1" applyBorder="1" applyAlignment="1" applyProtection="1">
      <alignment horizontal="right" vertical="center" wrapText="1"/>
      <protection hidden="1"/>
    </xf>
    <xf numFmtId="0" fontId="36" fillId="0" borderId="0" xfId="12" applyBorder="1" applyProtection="1">
      <protection hidden="1"/>
    </xf>
    <xf numFmtId="165" fontId="22" fillId="3" borderId="88" xfId="6" applyNumberFormat="1" applyFont="1" applyFill="1" applyBorder="1" applyAlignment="1" applyProtection="1">
      <alignment horizontal="left" wrapText="1"/>
      <protection hidden="1"/>
    </xf>
    <xf numFmtId="0" fontId="22" fillId="3" borderId="3" xfId="18" applyFont="1" applyFill="1" applyBorder="1" applyAlignment="1" applyProtection="1">
      <alignment horizontal="right" wrapText="1"/>
      <protection hidden="1"/>
    </xf>
    <xf numFmtId="0" fontId="22" fillId="3" borderId="32" xfId="18" applyFont="1" applyFill="1" applyBorder="1" applyAlignment="1" applyProtection="1">
      <alignment horizontal="right" wrapText="1"/>
      <protection hidden="1"/>
    </xf>
    <xf numFmtId="0" fontId="22" fillId="3" borderId="86" xfId="18" applyFont="1" applyFill="1" applyBorder="1" applyAlignment="1" applyProtection="1">
      <alignment horizontal="right" wrapText="1"/>
      <protection hidden="1"/>
    </xf>
    <xf numFmtId="3" fontId="9" fillId="0" borderId="77" xfId="18" applyNumberFormat="1" applyFill="1" applyBorder="1" applyProtection="1">
      <protection hidden="1"/>
    </xf>
    <xf numFmtId="3" fontId="9" fillId="0" borderId="21" xfId="18" applyNumberFormat="1" applyFill="1" applyBorder="1" applyProtection="1">
      <protection hidden="1"/>
    </xf>
    <xf numFmtId="0" fontId="9" fillId="0" borderId="48" xfId="11" applyFont="1" applyFill="1" applyBorder="1" applyAlignment="1" applyProtection="1">
      <alignment vertical="center" wrapText="1"/>
      <protection hidden="1"/>
    </xf>
    <xf numFmtId="3" fontId="9" fillId="0" borderId="12" xfId="10" applyNumberFormat="1" applyFill="1" applyBorder="1" applyProtection="1">
      <protection hidden="1"/>
    </xf>
    <xf numFmtId="3" fontId="9" fillId="0" borderId="49" xfId="18" applyNumberFormat="1" applyFill="1" applyBorder="1" applyProtection="1">
      <protection hidden="1"/>
    </xf>
    <xf numFmtId="0" fontId="11" fillId="7" borderId="3" xfId="18" applyFont="1" applyFill="1" applyBorder="1" applyAlignment="1" applyProtection="1">
      <alignment wrapText="1"/>
      <protection hidden="1"/>
    </xf>
    <xf numFmtId="0" fontId="11" fillId="7" borderId="3" xfId="18" applyFont="1" applyFill="1" applyBorder="1" applyAlignment="1" applyProtection="1">
      <alignment horizontal="right" wrapText="1"/>
      <protection hidden="1"/>
    </xf>
    <xf numFmtId="0" fontId="11" fillId="7" borderId="4" xfId="18" applyFont="1" applyFill="1" applyBorder="1" applyAlignment="1" applyProtection="1">
      <alignment horizontal="right" wrapText="1"/>
      <protection hidden="1"/>
    </xf>
    <xf numFmtId="0" fontId="11" fillId="7" borderId="0" xfId="18" applyFont="1" applyFill="1" applyBorder="1" applyAlignment="1" applyProtection="1">
      <alignment horizontal="right" wrapText="1"/>
      <protection hidden="1"/>
    </xf>
    <xf numFmtId="3" fontId="9" fillId="0" borderId="9" xfId="10" applyNumberFormat="1" applyFont="1" applyFill="1" applyBorder="1" applyProtection="1">
      <protection hidden="1"/>
    </xf>
    <xf numFmtId="9" fontId="13" fillId="0" borderId="22" xfId="18" applyNumberFormat="1" applyFont="1" applyFill="1" applyBorder="1" applyAlignment="1" applyProtection="1">
      <alignment horizontal="right" wrapText="1"/>
      <protection hidden="1"/>
    </xf>
    <xf numFmtId="3" fontId="13" fillId="0" borderId="9" xfId="18" applyNumberFormat="1" applyFont="1" applyFill="1" applyBorder="1" applyAlignment="1" applyProtection="1">
      <alignment horizontal="right" wrapText="1"/>
      <protection hidden="1"/>
    </xf>
    <xf numFmtId="9" fontId="13" fillId="0" borderId="9" xfId="20" applyFont="1" applyFill="1" applyBorder="1" applyAlignment="1" applyProtection="1">
      <alignment horizontal="right" wrapText="1"/>
      <protection hidden="1"/>
    </xf>
    <xf numFmtId="3" fontId="9" fillId="0" borderId="0" xfId="10" applyNumberFormat="1" applyFont="1" applyFill="1" applyBorder="1" applyProtection="1">
      <protection hidden="1"/>
    </xf>
    <xf numFmtId="9" fontId="13" fillId="0" borderId="16" xfId="18" applyNumberFormat="1" applyFont="1" applyFill="1" applyBorder="1" applyAlignment="1" applyProtection="1">
      <alignment horizontal="right" wrapText="1"/>
      <protection hidden="1"/>
    </xf>
    <xf numFmtId="3" fontId="13" fillId="0" borderId="0" xfId="18" applyNumberFormat="1" applyFont="1" applyFill="1" applyBorder="1" applyAlignment="1" applyProtection="1">
      <alignment horizontal="right" wrapText="1"/>
      <protection hidden="1"/>
    </xf>
    <xf numFmtId="9" fontId="13" fillId="0" borderId="0" xfId="20" applyFont="1" applyFill="1" applyBorder="1" applyAlignment="1" applyProtection="1">
      <alignment horizontal="right" wrapText="1"/>
      <protection hidden="1"/>
    </xf>
    <xf numFmtId="0" fontId="21" fillId="14" borderId="10" xfId="18" applyFont="1" applyFill="1" applyBorder="1" applyAlignment="1" applyProtection="1">
      <alignment wrapText="1"/>
      <protection hidden="1"/>
    </xf>
    <xf numFmtId="3" fontId="48" fillId="14" borderId="0" xfId="18" applyNumberFormat="1" applyFont="1" applyFill="1" applyBorder="1" applyProtection="1">
      <protection hidden="1"/>
    </xf>
    <xf numFmtId="9" fontId="21" fillId="14" borderId="16" xfId="18" applyNumberFormat="1" applyFont="1" applyFill="1" applyBorder="1" applyAlignment="1" applyProtection="1">
      <alignment horizontal="right" wrapText="1"/>
      <protection hidden="1"/>
    </xf>
    <xf numFmtId="9" fontId="21" fillId="14" borderId="16" xfId="20" applyFont="1" applyFill="1" applyBorder="1" applyAlignment="1" applyProtection="1">
      <alignment horizontal="right" wrapText="1"/>
      <protection hidden="1"/>
    </xf>
    <xf numFmtId="0" fontId="52" fillId="0" borderId="0" xfId="19" applyFont="1" applyProtection="1">
      <protection hidden="1"/>
    </xf>
    <xf numFmtId="3" fontId="48" fillId="14" borderId="0" xfId="10" applyNumberFormat="1" applyFont="1" applyFill="1" applyBorder="1" applyProtection="1">
      <protection hidden="1"/>
    </xf>
    <xf numFmtId="0" fontId="23" fillId="14" borderId="2" xfId="19" applyFill="1" applyBorder="1" applyProtection="1">
      <protection hidden="1"/>
    </xf>
    <xf numFmtId="3" fontId="13" fillId="14" borderId="3" xfId="19" applyNumberFormat="1" applyFont="1" applyFill="1" applyBorder="1" applyAlignment="1" applyProtection="1">
      <alignment horizontal="right"/>
      <protection hidden="1"/>
    </xf>
    <xf numFmtId="9" fontId="13" fillId="14" borderId="4" xfId="18" applyNumberFormat="1" applyFont="1" applyFill="1" applyBorder="1" applyAlignment="1" applyProtection="1">
      <alignment horizontal="right" wrapText="1"/>
      <protection hidden="1"/>
    </xf>
    <xf numFmtId="167" fontId="13" fillId="14" borderId="3" xfId="14" applyNumberFormat="1" applyFont="1" applyFill="1" applyBorder="1" applyAlignment="1" applyProtection="1">
      <alignment horizontal="right"/>
      <protection hidden="1"/>
    </xf>
    <xf numFmtId="3" fontId="13" fillId="14" borderId="3" xfId="18" applyNumberFormat="1" applyFont="1" applyFill="1" applyBorder="1" applyAlignment="1" applyProtection="1">
      <alignment horizontal="right" wrapText="1"/>
      <protection hidden="1"/>
    </xf>
    <xf numFmtId="9" fontId="13" fillId="14" borderId="4" xfId="20" applyFont="1" applyFill="1" applyBorder="1" applyAlignment="1" applyProtection="1">
      <alignment horizontal="right" wrapText="1"/>
      <protection hidden="1"/>
    </xf>
    <xf numFmtId="0" fontId="53" fillId="7" borderId="8" xfId="18" applyFont="1" applyFill="1" applyBorder="1" applyProtection="1">
      <protection hidden="1"/>
    </xf>
    <xf numFmtId="0" fontId="8" fillId="7" borderId="29" xfId="19" applyFont="1" applyFill="1" applyBorder="1" applyProtection="1">
      <protection hidden="1"/>
    </xf>
    <xf numFmtId="0" fontId="8" fillId="7" borderId="30" xfId="19" applyFont="1" applyFill="1" applyBorder="1" applyProtection="1">
      <protection hidden="1"/>
    </xf>
    <xf numFmtId="0" fontId="9" fillId="0" borderId="9" xfId="10" applyNumberFormat="1" applyFill="1" applyBorder="1" applyProtection="1">
      <protection hidden="1"/>
    </xf>
    <xf numFmtId="0" fontId="9" fillId="0" borderId="22" xfId="10" applyNumberFormat="1" applyFill="1" applyBorder="1" applyProtection="1">
      <protection hidden="1"/>
    </xf>
    <xf numFmtId="0" fontId="9" fillId="0" borderId="0" xfId="10" applyNumberFormat="1" applyFill="1" applyBorder="1" applyProtection="1">
      <protection hidden="1"/>
    </xf>
    <xf numFmtId="0" fontId="9" fillId="0" borderId="16" xfId="10" applyNumberFormat="1" applyFill="1" applyBorder="1" applyProtection="1">
      <protection hidden="1"/>
    </xf>
    <xf numFmtId="0" fontId="9" fillId="0" borderId="0" xfId="10" applyNumberFormat="1" applyFill="1" applyBorder="1" applyAlignment="1" applyProtection="1">
      <alignment horizontal="right"/>
      <protection hidden="1"/>
    </xf>
    <xf numFmtId="0" fontId="23" fillId="0" borderId="0" xfId="19" applyAlignment="1" applyProtection="1">
      <protection hidden="1"/>
    </xf>
    <xf numFmtId="0" fontId="48" fillId="14" borderId="10" xfId="11" applyFont="1" applyFill="1" applyBorder="1" applyAlignment="1" applyProtection="1">
      <alignment vertical="center" wrapText="1"/>
      <protection hidden="1"/>
    </xf>
    <xf numFmtId="0" fontId="48" fillId="14" borderId="0" xfId="10" applyNumberFormat="1" applyFont="1" applyFill="1" applyBorder="1" applyProtection="1">
      <protection hidden="1"/>
    </xf>
    <xf numFmtId="0" fontId="48" fillId="14" borderId="16" xfId="10" applyNumberFormat="1" applyFont="1" applyFill="1" applyBorder="1" applyProtection="1">
      <protection hidden="1"/>
    </xf>
    <xf numFmtId="0" fontId="23" fillId="14" borderId="2" xfId="19" applyFont="1" applyFill="1" applyBorder="1" applyProtection="1">
      <protection hidden="1"/>
    </xf>
    <xf numFmtId="0" fontId="9" fillId="14" borderId="3" xfId="10" applyNumberFormat="1" applyFont="1" applyFill="1" applyBorder="1" applyAlignment="1" applyProtection="1">
      <alignment horizontal="right"/>
      <protection hidden="1"/>
    </xf>
    <xf numFmtId="0" fontId="9" fillId="14" borderId="4" xfId="10" applyNumberFormat="1" applyFont="1" applyFill="1" applyBorder="1" applyAlignment="1" applyProtection="1">
      <alignment horizontal="right"/>
      <protection hidden="1"/>
    </xf>
    <xf numFmtId="0" fontId="9" fillId="0" borderId="0" xfId="23" applyFont="1" applyProtection="1">
      <protection hidden="1"/>
    </xf>
    <xf numFmtId="0" fontId="54" fillId="0" borderId="0" xfId="24" applyFont="1" applyFill="1" applyAlignment="1" applyProtection="1">
      <protection hidden="1"/>
    </xf>
    <xf numFmtId="0" fontId="9" fillId="0" borderId="0" xfId="1" applyNumberFormat="1" applyBorder="1" applyAlignment="1" applyProtection="1">
      <alignment wrapText="1"/>
      <protection hidden="1"/>
    </xf>
    <xf numFmtId="0" fontId="9" fillId="0" borderId="0" xfId="1" applyNumberFormat="1" applyBorder="1" applyAlignment="1" applyProtection="1">
      <alignment horizontal="right" wrapText="1"/>
      <protection hidden="1"/>
    </xf>
    <xf numFmtId="0" fontId="18" fillId="7" borderId="28" xfId="1" applyNumberFormat="1" applyFont="1" applyFill="1" applyBorder="1" applyAlignment="1" applyProtection="1">
      <alignment vertical="center" wrapText="1"/>
      <protection hidden="1"/>
    </xf>
    <xf numFmtId="0" fontId="18" fillId="7" borderId="29" xfId="1" applyNumberFormat="1" applyFont="1" applyFill="1" applyBorder="1" applyAlignment="1" applyProtection="1">
      <alignment horizontal="right"/>
      <protection hidden="1"/>
    </xf>
    <xf numFmtId="0" fontId="13" fillId="4" borderId="61" xfId="1" applyFont="1" applyFill="1" applyBorder="1" applyAlignment="1" applyProtection="1">
      <alignment wrapText="1"/>
      <protection hidden="1"/>
    </xf>
    <xf numFmtId="9" fontId="17" fillId="0" borderId="20" xfId="1" applyNumberFormat="1" applyFont="1" applyBorder="1" applyAlignment="1" applyProtection="1">
      <alignment wrapText="1"/>
      <protection hidden="1"/>
    </xf>
    <xf numFmtId="0" fontId="13" fillId="0" borderId="62" xfId="1" applyFont="1" applyBorder="1" applyAlignment="1" applyProtection="1">
      <alignment wrapText="1"/>
      <protection hidden="1"/>
    </xf>
    <xf numFmtId="9" fontId="17" fillId="4" borderId="20" xfId="1" applyNumberFormat="1" applyFont="1" applyFill="1" applyBorder="1" applyAlignment="1" applyProtection="1">
      <alignment wrapText="1"/>
      <protection hidden="1"/>
    </xf>
    <xf numFmtId="0" fontId="13" fillId="4" borderId="62" xfId="1" applyFont="1" applyFill="1" applyBorder="1" applyAlignment="1" applyProtection="1">
      <alignment wrapText="1"/>
      <protection hidden="1"/>
    </xf>
    <xf numFmtId="0" fontId="9" fillId="3" borderId="18" xfId="1" applyFill="1" applyBorder="1" applyProtection="1">
      <protection hidden="1"/>
    </xf>
    <xf numFmtId="0" fontId="9" fillId="0" borderId="9" xfId="1" applyFont="1" applyBorder="1" applyAlignment="1" applyProtection="1">
      <alignment wrapText="1"/>
      <protection hidden="1"/>
    </xf>
    <xf numFmtId="3" fontId="9" fillId="0" borderId="9" xfId="1" applyNumberFormat="1" applyFont="1" applyBorder="1" applyAlignment="1" applyProtection="1">
      <alignment horizontal="right" wrapText="1"/>
      <protection hidden="1"/>
    </xf>
    <xf numFmtId="9" fontId="13" fillId="0" borderId="9" xfId="2" applyFont="1" applyBorder="1" applyAlignment="1" applyProtection="1">
      <alignment horizontal="right" wrapText="1"/>
      <protection hidden="1"/>
    </xf>
    <xf numFmtId="0" fontId="11" fillId="3" borderId="28" xfId="1" applyFont="1" applyFill="1" applyBorder="1" applyAlignment="1" applyProtection="1">
      <alignment wrapText="1"/>
      <protection hidden="1"/>
    </xf>
    <xf numFmtId="0" fontId="11" fillId="3" borderId="29" xfId="1" applyFont="1" applyFill="1" applyBorder="1" applyAlignment="1" applyProtection="1">
      <alignment wrapText="1"/>
      <protection hidden="1"/>
    </xf>
    <xf numFmtId="0" fontId="11" fillId="3" borderId="30" xfId="1" applyFont="1" applyFill="1" applyBorder="1" applyAlignment="1" applyProtection="1">
      <alignment wrapText="1"/>
      <protection hidden="1"/>
    </xf>
    <xf numFmtId="0" fontId="9" fillId="0" borderId="8" xfId="1" applyNumberFormat="1" applyBorder="1" applyAlignment="1" applyProtection="1">
      <alignment wrapText="1"/>
      <protection hidden="1"/>
    </xf>
    <xf numFmtId="3" fontId="12" fillId="0" borderId="9" xfId="1" applyNumberFormat="1" applyFont="1" applyBorder="1" applyAlignment="1" applyProtection="1">
      <alignment horizontal="right" vertical="center"/>
      <protection hidden="1"/>
    </xf>
    <xf numFmtId="9" fontId="9" fillId="0" borderId="9" xfId="1" applyNumberFormat="1" applyBorder="1" applyAlignment="1" applyProtection="1">
      <alignment horizontal="right" wrapText="1"/>
      <protection hidden="1"/>
    </xf>
    <xf numFmtId="0" fontId="9" fillId="0" borderId="9" xfId="1" applyNumberFormat="1" applyBorder="1" applyAlignment="1" applyProtection="1">
      <alignment horizontal="right" wrapText="1"/>
      <protection hidden="1"/>
    </xf>
    <xf numFmtId="9" fontId="9" fillId="0" borderId="22" xfId="1" applyNumberFormat="1" applyBorder="1" applyAlignment="1" applyProtection="1">
      <alignment horizontal="right" wrapText="1"/>
      <protection hidden="1"/>
    </xf>
    <xf numFmtId="9" fontId="9" fillId="0" borderId="10" xfId="1" applyNumberFormat="1" applyBorder="1" applyAlignment="1" applyProtection="1">
      <alignment wrapText="1"/>
      <protection hidden="1"/>
    </xf>
    <xf numFmtId="9" fontId="9" fillId="0" borderId="16" xfId="1" applyNumberFormat="1" applyBorder="1" applyAlignment="1" applyProtection="1">
      <alignment horizontal="right" wrapText="1"/>
      <protection hidden="1"/>
    </xf>
    <xf numFmtId="0" fontId="9" fillId="0" borderId="10" xfId="1" applyNumberFormat="1" applyBorder="1" applyAlignment="1" applyProtection="1">
      <alignment wrapText="1"/>
      <protection hidden="1"/>
    </xf>
    <xf numFmtId="0" fontId="15" fillId="0" borderId="0" xfId="1" applyNumberFormat="1" applyFont="1" applyBorder="1" applyAlignment="1" applyProtection="1">
      <alignment horizontal="right"/>
      <protection hidden="1"/>
    </xf>
    <xf numFmtId="3" fontId="9" fillId="0" borderId="0" xfId="1" applyNumberFormat="1" applyFill="1" applyBorder="1" applyAlignment="1" applyProtection="1">
      <alignment horizontal="right" wrapText="1"/>
      <protection hidden="1"/>
    </xf>
    <xf numFmtId="9" fontId="17" fillId="0" borderId="16" xfId="1" applyNumberFormat="1" applyFont="1" applyFill="1" applyBorder="1" applyAlignment="1" applyProtection="1">
      <alignment horizontal="right" wrapText="1"/>
      <protection hidden="1"/>
    </xf>
    <xf numFmtId="0" fontId="17" fillId="4" borderId="0" xfId="1" applyNumberFormat="1" applyFont="1" applyFill="1" applyAlignment="1" applyProtection="1">
      <alignment wrapText="1"/>
      <protection hidden="1"/>
    </xf>
    <xf numFmtId="165" fontId="13" fillId="4" borderId="62" xfId="6" applyNumberFormat="1" applyFont="1" applyFill="1" applyBorder="1" applyAlignment="1" applyProtection="1">
      <alignment horizontal="right" wrapText="1"/>
      <protection hidden="1"/>
    </xf>
    <xf numFmtId="165" fontId="13" fillId="0" borderId="62" xfId="6" applyNumberFormat="1" applyFont="1" applyBorder="1" applyAlignment="1" applyProtection="1">
      <alignment horizontal="right" wrapText="1"/>
      <protection hidden="1"/>
    </xf>
    <xf numFmtId="0" fontId="16" fillId="0" borderId="40" xfId="1" applyFont="1" applyBorder="1" applyProtection="1">
      <protection hidden="1"/>
    </xf>
    <xf numFmtId="0" fontId="36" fillId="0" borderId="0" xfId="12" applyAlignment="1" applyProtection="1">
      <alignment horizontal="right"/>
      <protection hidden="1"/>
    </xf>
    <xf numFmtId="0" fontId="11" fillId="3" borderId="0" xfId="18" applyFont="1" applyFill="1" applyBorder="1" applyAlignment="1" applyProtection="1">
      <alignment horizontal="right" wrapText="1"/>
      <protection hidden="1"/>
    </xf>
    <xf numFmtId="0" fontId="11" fillId="0" borderId="10" xfId="18" applyFont="1" applyFill="1" applyBorder="1" applyAlignment="1" applyProtection="1">
      <alignment wrapText="1"/>
      <protection hidden="1"/>
    </xf>
    <xf numFmtId="169" fontId="13" fillId="0" borderId="9" xfId="14" applyNumberFormat="1" applyFont="1" applyBorder="1" applyProtection="1">
      <protection hidden="1"/>
    </xf>
    <xf numFmtId="167" fontId="13" fillId="0" borderId="0" xfId="14" applyNumberFormat="1" applyFont="1" applyBorder="1" applyProtection="1">
      <protection hidden="1"/>
    </xf>
    <xf numFmtId="9" fontId="13" fillId="0" borderId="0" xfId="7" applyFont="1" applyBorder="1" applyProtection="1">
      <protection hidden="1"/>
    </xf>
    <xf numFmtId="3" fontId="9" fillId="0" borderId="10" xfId="18" applyNumberFormat="1" applyFill="1" applyBorder="1" applyAlignment="1" applyProtection="1">
      <alignment wrapText="1"/>
      <protection hidden="1"/>
    </xf>
    <xf numFmtId="169" fontId="13" fillId="0" borderId="0" xfId="14" applyNumberFormat="1" applyFont="1" applyBorder="1" applyProtection="1">
      <protection hidden="1"/>
    </xf>
    <xf numFmtId="0" fontId="9" fillId="0" borderId="0" xfId="18" applyFont="1" applyBorder="1" applyAlignment="1" applyProtection="1">
      <protection hidden="1"/>
    </xf>
    <xf numFmtId="0" fontId="11" fillId="3" borderId="0" xfId="18" applyFont="1" applyFill="1" applyBorder="1" applyAlignment="1" applyProtection="1">
      <alignment horizontal="left" wrapText="1"/>
      <protection hidden="1"/>
    </xf>
    <xf numFmtId="0" fontId="9" fillId="0" borderId="9" xfId="25" applyFont="1" applyFill="1" applyBorder="1" applyAlignment="1" applyProtection="1">
      <alignment vertical="center" wrapText="1"/>
      <protection hidden="1"/>
    </xf>
    <xf numFmtId="0" fontId="9" fillId="0" borderId="9" xfId="15" applyNumberFormat="1" applyFill="1" applyBorder="1" applyProtection="1">
      <protection hidden="1"/>
    </xf>
    <xf numFmtId="170" fontId="9" fillId="0" borderId="9" xfId="15" applyNumberFormat="1" applyFill="1" applyBorder="1" applyProtection="1">
      <protection hidden="1"/>
    </xf>
    <xf numFmtId="170" fontId="13" fillId="0" borderId="9" xfId="12" applyNumberFormat="1" applyFont="1" applyBorder="1" applyProtection="1">
      <protection hidden="1"/>
    </xf>
    <xf numFmtId="0" fontId="9" fillId="0" borderId="0" xfId="25" applyFont="1" applyFill="1" applyBorder="1" applyAlignment="1" applyProtection="1">
      <alignment vertical="center" wrapText="1"/>
      <protection hidden="1"/>
    </xf>
    <xf numFmtId="0" fontId="9" fillId="0" borderId="0" xfId="15" applyNumberFormat="1" applyFill="1" applyBorder="1" applyProtection="1">
      <protection hidden="1"/>
    </xf>
    <xf numFmtId="170" fontId="9" fillId="0" borderId="0" xfId="15" applyNumberFormat="1" applyFill="1" applyBorder="1" applyProtection="1">
      <protection hidden="1"/>
    </xf>
    <xf numFmtId="170" fontId="13" fillId="0" borderId="0" xfId="12" applyNumberFormat="1" applyFont="1" applyBorder="1" applyProtection="1">
      <protection hidden="1"/>
    </xf>
    <xf numFmtId="0" fontId="42" fillId="0" borderId="0" xfId="12" applyFont="1" applyProtection="1">
      <protection hidden="1"/>
    </xf>
    <xf numFmtId="0" fontId="9" fillId="0" borderId="0" xfId="15" applyNumberFormat="1" applyFont="1" applyFill="1" applyBorder="1" applyProtection="1">
      <protection hidden="1"/>
    </xf>
    <xf numFmtId="170" fontId="9" fillId="0" borderId="0" xfId="15" applyNumberFormat="1" applyFont="1" applyFill="1" applyBorder="1" applyProtection="1">
      <protection hidden="1"/>
    </xf>
    <xf numFmtId="170" fontId="9" fillId="0" borderId="0" xfId="12" applyNumberFormat="1" applyFont="1" applyBorder="1" applyProtection="1">
      <protection hidden="1"/>
    </xf>
    <xf numFmtId="0" fontId="51" fillId="0" borderId="0" xfId="11" applyFont="1" applyFill="1" applyBorder="1" applyAlignment="1" applyProtection="1">
      <alignment vertical="center" wrapText="1"/>
      <protection hidden="1"/>
    </xf>
    <xf numFmtId="0" fontId="50" fillId="0" borderId="0" xfId="12" applyFont="1" applyProtection="1">
      <protection hidden="1"/>
    </xf>
    <xf numFmtId="3" fontId="49" fillId="14" borderId="0" xfId="21" applyNumberFormat="1" applyFont="1" applyFill="1" applyBorder="1" applyProtection="1">
      <protection hidden="1"/>
    </xf>
    <xf numFmtId="170" fontId="48" fillId="14" borderId="0" xfId="15" applyNumberFormat="1" applyFont="1" applyFill="1" applyBorder="1" applyProtection="1">
      <protection hidden="1"/>
    </xf>
    <xf numFmtId="167" fontId="48" fillId="14" borderId="0" xfId="14" applyNumberFormat="1" applyFont="1" applyFill="1" applyBorder="1" applyProtection="1">
      <protection hidden="1"/>
    </xf>
    <xf numFmtId="170" fontId="48" fillId="14" borderId="16" xfId="12" applyNumberFormat="1" applyFont="1" applyFill="1" applyBorder="1" applyProtection="1">
      <protection hidden="1"/>
    </xf>
    <xf numFmtId="0" fontId="55" fillId="0" borderId="0" xfId="11" applyFont="1" applyFill="1" applyBorder="1" applyAlignment="1" applyProtection="1">
      <alignment vertical="center" wrapText="1"/>
      <protection hidden="1"/>
    </xf>
    <xf numFmtId="170" fontId="9" fillId="14" borderId="3" xfId="15" applyNumberFormat="1" applyFont="1" applyFill="1" applyBorder="1" applyProtection="1">
      <protection hidden="1"/>
    </xf>
    <xf numFmtId="167" fontId="9" fillId="14" borderId="3" xfId="14" applyNumberFormat="1" applyFont="1" applyFill="1" applyBorder="1" applyProtection="1">
      <protection hidden="1"/>
    </xf>
    <xf numFmtId="170" fontId="9" fillId="14" borderId="4" xfId="12" applyNumberFormat="1" applyFont="1" applyFill="1" applyBorder="1" applyProtection="1">
      <protection hidden="1"/>
    </xf>
    <xf numFmtId="0" fontId="9" fillId="0" borderId="0" xfId="10" applyNumberFormat="1" applyFont="1" applyFill="1" applyBorder="1" applyProtection="1">
      <protection hidden="1"/>
    </xf>
    <xf numFmtId="3" fontId="13" fillId="14" borderId="16" xfId="14" applyNumberFormat="1" applyFont="1" applyFill="1" applyBorder="1" applyProtection="1">
      <protection hidden="1"/>
    </xf>
    <xf numFmtId="3" fontId="13" fillId="14" borderId="4" xfId="14" applyNumberFormat="1" applyFont="1" applyFill="1" applyBorder="1" applyProtection="1">
      <protection hidden="1"/>
    </xf>
    <xf numFmtId="0" fontId="22" fillId="0" borderId="0" xfId="10" applyNumberFormat="1" applyFont="1" applyFill="1" applyProtection="1">
      <protection hidden="1"/>
    </xf>
    <xf numFmtId="170" fontId="9" fillId="0" borderId="9" xfId="10" applyNumberFormat="1" applyFont="1" applyFill="1" applyBorder="1" applyProtection="1">
      <protection hidden="1"/>
    </xf>
    <xf numFmtId="170" fontId="9" fillId="0" borderId="0" xfId="10" applyNumberFormat="1" applyFont="1" applyFill="1" applyBorder="1" applyProtection="1">
      <protection hidden="1"/>
    </xf>
    <xf numFmtId="170" fontId="9" fillId="14" borderId="0" xfId="10" applyNumberFormat="1" applyFont="1" applyFill="1" applyBorder="1" applyProtection="1">
      <protection hidden="1"/>
    </xf>
    <xf numFmtId="170" fontId="9" fillId="14" borderId="3" xfId="10" applyNumberFormat="1" applyFont="1" applyFill="1" applyBorder="1" applyProtection="1">
      <protection hidden="1"/>
    </xf>
    <xf numFmtId="0" fontId="11" fillId="7" borderId="3" xfId="18" applyFont="1" applyFill="1" applyBorder="1" applyAlignment="1" applyProtection="1">
      <alignment horizontal="left" wrapText="1"/>
      <protection hidden="1"/>
    </xf>
    <xf numFmtId="0" fontId="11" fillId="7" borderId="0" xfId="18" applyFont="1" applyFill="1" applyBorder="1" applyAlignment="1" applyProtection="1">
      <alignment horizontal="left" wrapText="1"/>
      <protection hidden="1"/>
    </xf>
    <xf numFmtId="170" fontId="13" fillId="0" borderId="9" xfId="20" applyNumberFormat="1" applyFont="1" applyFill="1" applyBorder="1" applyAlignment="1" applyProtection="1">
      <alignment wrapText="1"/>
      <protection hidden="1"/>
    </xf>
    <xf numFmtId="170" fontId="13" fillId="0" borderId="0" xfId="20" applyNumberFormat="1" applyFont="1" applyFill="1" applyBorder="1" applyAlignment="1" applyProtection="1">
      <alignment wrapText="1"/>
      <protection hidden="1"/>
    </xf>
    <xf numFmtId="170" fontId="13" fillId="0" borderId="9" xfId="18" applyNumberFormat="1" applyFont="1" applyFill="1" applyBorder="1" applyAlignment="1" applyProtection="1">
      <alignment wrapText="1"/>
      <protection hidden="1"/>
    </xf>
    <xf numFmtId="3" fontId="13" fillId="0" borderId="9" xfId="18" applyNumberFormat="1" applyFont="1" applyFill="1" applyBorder="1" applyAlignment="1" applyProtection="1">
      <alignment wrapText="1"/>
      <protection hidden="1"/>
    </xf>
    <xf numFmtId="170" fontId="13" fillId="0" borderId="0" xfId="18" applyNumberFormat="1" applyFont="1" applyFill="1" applyBorder="1" applyAlignment="1" applyProtection="1">
      <alignment wrapText="1"/>
      <protection hidden="1"/>
    </xf>
    <xf numFmtId="3" fontId="13" fillId="0" borderId="0" xfId="18" applyNumberFormat="1" applyFont="1" applyFill="1" applyBorder="1" applyAlignment="1" applyProtection="1">
      <alignment wrapText="1"/>
      <protection hidden="1"/>
    </xf>
    <xf numFmtId="170" fontId="21" fillId="14" borderId="0" xfId="18" applyNumberFormat="1" applyFont="1" applyFill="1" applyBorder="1" applyAlignment="1" applyProtection="1">
      <alignment wrapText="1"/>
      <protection hidden="1"/>
    </xf>
    <xf numFmtId="170" fontId="21" fillId="14" borderId="16" xfId="20" applyNumberFormat="1" applyFont="1" applyFill="1" applyBorder="1" applyAlignment="1" applyProtection="1">
      <alignment wrapText="1"/>
      <protection hidden="1"/>
    </xf>
    <xf numFmtId="170" fontId="21" fillId="14" borderId="3" xfId="18" applyNumberFormat="1" applyFont="1" applyFill="1" applyBorder="1" applyAlignment="1" applyProtection="1">
      <alignment wrapText="1"/>
      <protection hidden="1"/>
    </xf>
    <xf numFmtId="3" fontId="21" fillId="14" borderId="3" xfId="18" applyNumberFormat="1" applyFont="1" applyFill="1" applyBorder="1" applyAlignment="1" applyProtection="1">
      <alignment wrapText="1"/>
      <protection hidden="1"/>
    </xf>
    <xf numFmtId="170" fontId="21" fillId="14" borderId="4" xfId="20" applyNumberFormat="1" applyFont="1" applyFill="1" applyBorder="1" applyAlignment="1" applyProtection="1">
      <alignment wrapText="1"/>
      <protection hidden="1"/>
    </xf>
    <xf numFmtId="3" fontId="13" fillId="0" borderId="0" xfId="18" applyNumberFormat="1" applyFont="1" applyFill="1" applyAlignment="1" applyProtection="1">
      <alignment wrapText="1"/>
      <protection hidden="1"/>
    </xf>
    <xf numFmtId="0" fontId="11" fillId="3" borderId="8" xfId="1" applyFont="1" applyFill="1" applyBorder="1" applyAlignment="1" applyProtection="1">
      <alignment wrapText="1"/>
      <protection hidden="1"/>
    </xf>
    <xf numFmtId="0" fontId="11" fillId="3" borderId="9" xfId="1" applyFont="1" applyFill="1" applyBorder="1" applyAlignment="1" applyProtection="1">
      <alignment horizontal="right" wrapText="1"/>
      <protection hidden="1"/>
    </xf>
    <xf numFmtId="0" fontId="11" fillId="3" borderId="77" xfId="1" applyFont="1" applyFill="1" applyBorder="1" applyAlignment="1" applyProtection="1">
      <alignment horizontal="right" wrapText="1"/>
      <protection hidden="1"/>
    </xf>
    <xf numFmtId="0" fontId="11" fillId="3" borderId="98" xfId="1" applyFont="1" applyFill="1" applyBorder="1" applyAlignment="1" applyProtection="1">
      <alignment wrapText="1"/>
      <protection hidden="1"/>
    </xf>
    <xf numFmtId="0" fontId="20" fillId="4" borderId="98" xfId="1" applyNumberFormat="1" applyFont="1" applyFill="1" applyBorder="1" applyAlignment="1" applyProtection="1">
      <alignment wrapText="1"/>
      <protection hidden="1"/>
    </xf>
    <xf numFmtId="0" fontId="13" fillId="0" borderId="99" xfId="1" applyNumberFormat="1" applyFont="1" applyBorder="1" applyAlignment="1" applyProtection="1">
      <alignment wrapText="1"/>
      <protection hidden="1"/>
    </xf>
    <xf numFmtId="0" fontId="13" fillId="4" borderId="99" xfId="1" applyNumberFormat="1" applyFont="1" applyFill="1" applyBorder="1" applyAlignment="1" applyProtection="1">
      <alignment wrapText="1"/>
      <protection hidden="1"/>
    </xf>
    <xf numFmtId="9" fontId="21" fillId="4" borderId="100" xfId="7" applyFont="1" applyFill="1" applyBorder="1" applyAlignment="1" applyProtection="1">
      <alignment wrapText="1"/>
      <protection hidden="1"/>
    </xf>
    <xf numFmtId="0" fontId="20" fillId="0" borderId="98" xfId="1" applyNumberFormat="1" applyFont="1" applyBorder="1" applyAlignment="1" applyProtection="1">
      <alignment wrapText="1"/>
      <protection hidden="1"/>
    </xf>
    <xf numFmtId="9" fontId="21" fillId="0" borderId="100" xfId="7" applyFont="1" applyBorder="1" applyAlignment="1" applyProtection="1">
      <alignment wrapText="1"/>
      <protection hidden="1"/>
    </xf>
    <xf numFmtId="0" fontId="21" fillId="4" borderId="100" xfId="1" applyNumberFormat="1" applyFont="1" applyFill="1" applyBorder="1" applyAlignment="1" applyProtection="1">
      <alignment wrapText="1"/>
      <protection hidden="1"/>
    </xf>
    <xf numFmtId="0" fontId="21" fillId="0" borderId="39" xfId="1" applyNumberFormat="1" applyFont="1" applyBorder="1" applyAlignment="1" applyProtection="1">
      <alignment wrapText="1"/>
      <protection hidden="1"/>
    </xf>
    <xf numFmtId="0" fontId="21" fillId="0" borderId="101" xfId="1" applyNumberFormat="1" applyFont="1" applyBorder="1" applyAlignment="1" applyProtection="1">
      <alignment wrapText="1"/>
      <protection hidden="1"/>
    </xf>
    <xf numFmtId="0" fontId="9" fillId="0" borderId="0" xfId="16" applyFont="1" applyFill="1" applyBorder="1" applyAlignment="1" applyProtection="1">
      <alignment horizontal="right" vertical="top" wrapText="1"/>
      <protection hidden="1"/>
    </xf>
    <xf numFmtId="0" fontId="9" fillId="0" borderId="0" xfId="12" applyFont="1" applyFill="1" applyBorder="1" applyAlignment="1" applyProtection="1">
      <alignment horizontal="right" vertical="top"/>
      <protection hidden="1"/>
    </xf>
    <xf numFmtId="0" fontId="9" fillId="0" borderId="0" xfId="16" applyFont="1" applyFill="1" applyBorder="1" applyAlignment="1" applyProtection="1">
      <alignment horizontal="center" vertical="center" wrapText="1"/>
      <protection hidden="1"/>
    </xf>
    <xf numFmtId="0" fontId="36" fillId="0" borderId="0" xfId="12" applyFill="1" applyBorder="1" applyProtection="1">
      <protection hidden="1"/>
    </xf>
    <xf numFmtId="0" fontId="9" fillId="3" borderId="23" xfId="18" applyFont="1" applyFill="1" applyBorder="1" applyProtection="1">
      <protection hidden="1"/>
    </xf>
    <xf numFmtId="165" fontId="11" fillId="3" borderId="82" xfId="6" applyNumberFormat="1" applyFont="1" applyFill="1" applyBorder="1" applyAlignment="1" applyProtection="1">
      <alignment horizontal="left" wrapText="1"/>
      <protection hidden="1"/>
    </xf>
    <xf numFmtId="3" fontId="36" fillId="0" borderId="0" xfId="12" applyNumberFormat="1" applyProtection="1">
      <protection hidden="1"/>
    </xf>
    <xf numFmtId="0" fontId="9" fillId="0" borderId="92" xfId="25" applyNumberFormat="1" applyFont="1" applyFill="1" applyBorder="1" applyAlignment="1" applyProtection="1">
      <alignment vertical="center" wrapText="1"/>
      <protection hidden="1"/>
    </xf>
    <xf numFmtId="0" fontId="9" fillId="0" borderId="93" xfId="15" applyNumberFormat="1" applyFont="1" applyFill="1" applyBorder="1" applyAlignment="1" applyProtection="1">
      <protection hidden="1"/>
    </xf>
    <xf numFmtId="0" fontId="9" fillId="16" borderId="92" xfId="25" applyNumberFormat="1" applyFont="1" applyFill="1" applyBorder="1" applyAlignment="1" applyProtection="1">
      <alignment vertical="center" wrapText="1"/>
      <protection hidden="1"/>
    </xf>
    <xf numFmtId="0" fontId="9" fillId="16" borderId="93" xfId="15" applyNumberFormat="1" applyFont="1" applyFill="1" applyBorder="1" applyAlignment="1" applyProtection="1">
      <protection hidden="1"/>
    </xf>
    <xf numFmtId="9" fontId="13" fillId="16" borderId="91" xfId="18" applyNumberFormat="1" applyFont="1" applyFill="1" applyBorder="1" applyAlignment="1" applyProtection="1">
      <alignment wrapText="1"/>
      <protection hidden="1"/>
    </xf>
    <xf numFmtId="9" fontId="13" fillId="0" borderId="93" xfId="18" applyNumberFormat="1" applyFont="1" applyBorder="1" applyAlignment="1" applyProtection="1">
      <alignment wrapText="1"/>
      <protection hidden="1"/>
    </xf>
    <xf numFmtId="9" fontId="13" fillId="16" borderId="93" xfId="18" applyNumberFormat="1" applyFont="1" applyFill="1" applyBorder="1" applyAlignment="1" applyProtection="1">
      <alignment wrapText="1"/>
      <protection hidden="1"/>
    </xf>
    <xf numFmtId="9" fontId="13" fillId="0" borderId="0" xfId="18" applyNumberFormat="1" applyFont="1" applyFill="1" applyBorder="1" applyAlignment="1" applyProtection="1">
      <alignment horizontal="right" wrapText="1"/>
      <protection hidden="1"/>
    </xf>
    <xf numFmtId="3" fontId="9" fillId="0" borderId="0" xfId="10" applyNumberFormat="1" applyFont="1" applyFill="1" applyBorder="1" applyAlignment="1" applyProtection="1">
      <alignment horizontal="right"/>
      <protection hidden="1"/>
    </xf>
    <xf numFmtId="3" fontId="13" fillId="0" borderId="16" xfId="18" applyNumberFormat="1" applyFont="1" applyFill="1" applyBorder="1" applyAlignment="1" applyProtection="1">
      <alignment horizontal="right" wrapText="1"/>
      <protection hidden="1"/>
    </xf>
    <xf numFmtId="9" fontId="13" fillId="14" borderId="0" xfId="18" applyNumberFormat="1" applyFont="1" applyFill="1" applyBorder="1" applyAlignment="1" applyProtection="1">
      <alignment horizontal="right" wrapText="1"/>
      <protection hidden="1"/>
    </xf>
    <xf numFmtId="3" fontId="21" fillId="14" borderId="16" xfId="18" applyNumberFormat="1" applyFont="1" applyFill="1" applyBorder="1" applyAlignment="1" applyProtection="1">
      <alignment horizontal="right" wrapText="1"/>
      <protection hidden="1"/>
    </xf>
    <xf numFmtId="9" fontId="13" fillId="14" borderId="16" xfId="20" applyFont="1" applyFill="1" applyBorder="1" applyAlignment="1" applyProtection="1">
      <alignment horizontal="right" wrapText="1"/>
      <protection hidden="1"/>
    </xf>
    <xf numFmtId="9" fontId="13" fillId="14" borderId="3" xfId="18" applyNumberFormat="1" applyFont="1" applyFill="1" applyBorder="1" applyAlignment="1" applyProtection="1">
      <alignment horizontal="right" wrapText="1"/>
      <protection hidden="1"/>
    </xf>
    <xf numFmtId="0" fontId="41" fillId="3" borderId="8" xfId="18" applyFont="1" applyFill="1" applyBorder="1" applyProtection="1">
      <protection hidden="1"/>
    </xf>
    <xf numFmtId="0" fontId="36" fillId="0" borderId="35" xfId="12" applyBorder="1" applyProtection="1">
      <protection hidden="1"/>
    </xf>
    <xf numFmtId="0" fontId="22" fillId="3" borderId="2" xfId="18" applyFont="1" applyFill="1" applyBorder="1" applyAlignment="1" applyProtection="1">
      <alignment wrapText="1"/>
      <protection hidden="1"/>
    </xf>
    <xf numFmtId="0" fontId="22" fillId="3" borderId="36" xfId="18" applyFont="1" applyFill="1" applyBorder="1" applyAlignment="1" applyProtection="1">
      <alignment horizontal="right" wrapText="1"/>
      <protection hidden="1"/>
    </xf>
    <xf numFmtId="0" fontId="22" fillId="3" borderId="4" xfId="18" applyFont="1" applyFill="1" applyBorder="1" applyAlignment="1" applyProtection="1">
      <alignment horizontal="right" wrapText="1"/>
      <protection hidden="1"/>
    </xf>
    <xf numFmtId="3" fontId="48" fillId="14" borderId="16" xfId="10" applyNumberFormat="1" applyFont="1" applyFill="1" applyBorder="1" applyProtection="1">
      <protection hidden="1"/>
    </xf>
    <xf numFmtId="3" fontId="9" fillId="14" borderId="0" xfId="10" applyNumberFormat="1" applyFont="1" applyFill="1" applyBorder="1" applyProtection="1">
      <protection hidden="1"/>
    </xf>
    <xf numFmtId="3" fontId="9" fillId="14" borderId="16" xfId="10" applyNumberFormat="1" applyFont="1" applyFill="1" applyBorder="1" applyProtection="1">
      <protection hidden="1"/>
    </xf>
    <xf numFmtId="0" fontId="9" fillId="14" borderId="2" xfId="11" applyFont="1" applyFill="1" applyBorder="1" applyAlignment="1" applyProtection="1">
      <alignment vertical="center" wrapText="1"/>
      <protection hidden="1"/>
    </xf>
    <xf numFmtId="3" fontId="9" fillId="14" borderId="3" xfId="10" applyNumberFormat="1" applyFont="1" applyFill="1" applyBorder="1" applyProtection="1">
      <protection hidden="1"/>
    </xf>
    <xf numFmtId="3" fontId="9" fillId="14" borderId="4" xfId="10" applyNumberFormat="1" applyFont="1" applyFill="1" applyBorder="1" applyProtection="1">
      <protection hidden="1"/>
    </xf>
    <xf numFmtId="0" fontId="9" fillId="0" borderId="0" xfId="1" applyAlignment="1" applyProtection="1">
      <alignment horizontal="center"/>
      <protection hidden="1"/>
    </xf>
    <xf numFmtId="0" fontId="11" fillId="3" borderId="69" xfId="1" applyFont="1" applyFill="1" applyBorder="1" applyAlignment="1" applyProtection="1">
      <alignment wrapText="1"/>
      <protection hidden="1"/>
    </xf>
    <xf numFmtId="0" fontId="11" fillId="3" borderId="38" xfId="1" applyFont="1" applyFill="1" applyBorder="1" applyAlignment="1" applyProtection="1">
      <alignment wrapText="1"/>
      <protection hidden="1"/>
    </xf>
    <xf numFmtId="0" fontId="11" fillId="3" borderId="70" xfId="1" applyFont="1" applyFill="1" applyBorder="1" applyAlignment="1" applyProtection="1">
      <alignment wrapText="1"/>
      <protection hidden="1"/>
    </xf>
    <xf numFmtId="164" fontId="23" fillId="7" borderId="0" xfId="0" applyNumberFormat="1" applyFont="1" applyFill="1" applyBorder="1" applyAlignment="1" applyProtection="1">
      <alignment horizontal="right"/>
      <protection hidden="1"/>
    </xf>
    <xf numFmtId="2" fontId="23" fillId="7" borderId="0" xfId="0" applyNumberFormat="1" applyFont="1" applyFill="1" applyBorder="1" applyAlignment="1" applyProtection="1">
      <alignment horizontal="right"/>
      <protection hidden="1"/>
    </xf>
    <xf numFmtId="0" fontId="25" fillId="2" borderId="0" xfId="18" applyFont="1" applyFill="1" applyProtection="1">
      <protection hidden="1"/>
    </xf>
    <xf numFmtId="0" fontId="22" fillId="2" borderId="0" xfId="18" applyFont="1" applyFill="1" applyProtection="1">
      <protection hidden="1"/>
    </xf>
    <xf numFmtId="0" fontId="9" fillId="2" borderId="0" xfId="18" applyFill="1" applyProtection="1">
      <protection hidden="1"/>
    </xf>
    <xf numFmtId="0" fontId="41" fillId="0" borderId="0" xfId="12" applyFont="1" applyProtection="1">
      <protection hidden="1"/>
    </xf>
    <xf numFmtId="0" fontId="22" fillId="0" borderId="10" xfId="18" applyFont="1" applyBorder="1" applyAlignment="1" applyProtection="1">
      <alignment wrapText="1"/>
      <protection hidden="1"/>
    </xf>
    <xf numFmtId="10" fontId="41" fillId="0" borderId="0" xfId="12" applyNumberFormat="1" applyFont="1" applyProtection="1">
      <protection hidden="1"/>
    </xf>
    <xf numFmtId="0" fontId="22" fillId="0" borderId="10" xfId="18" applyFont="1" applyBorder="1" applyAlignment="1" applyProtection="1">
      <protection hidden="1"/>
    </xf>
    <xf numFmtId="167" fontId="13" fillId="0" borderId="9" xfId="14" applyNumberFormat="1" applyFont="1" applyBorder="1" applyProtection="1">
      <protection hidden="1"/>
    </xf>
    <xf numFmtId="9" fontId="13" fillId="0" borderId="22" xfId="7" applyFont="1" applyBorder="1" applyProtection="1">
      <protection hidden="1"/>
    </xf>
    <xf numFmtId="9" fontId="13" fillId="0" borderId="16" xfId="7" applyFont="1" applyBorder="1" applyProtection="1">
      <protection hidden="1"/>
    </xf>
    <xf numFmtId="9" fontId="13" fillId="0" borderId="16" xfId="7" applyFont="1" applyBorder="1" applyAlignment="1" applyProtection="1">
      <alignment horizontal="right"/>
      <protection hidden="1"/>
    </xf>
    <xf numFmtId="0" fontId="11" fillId="0" borderId="0" xfId="18" applyFont="1" applyFill="1" applyBorder="1" applyAlignment="1" applyProtection="1">
      <alignment horizontal="right" wrapText="1"/>
      <protection hidden="1"/>
    </xf>
    <xf numFmtId="170" fontId="9" fillId="0" borderId="9" xfId="12" applyNumberFormat="1" applyFont="1" applyFill="1" applyBorder="1" applyProtection="1">
      <protection hidden="1"/>
    </xf>
    <xf numFmtId="0" fontId="18" fillId="0" borderId="0" xfId="11" applyFont="1" applyFill="1" applyBorder="1" applyAlignment="1" applyProtection="1">
      <alignment vertical="center" wrapText="1"/>
      <protection hidden="1"/>
    </xf>
    <xf numFmtId="170" fontId="9" fillId="0" borderId="0" xfId="12" applyNumberFormat="1" applyFont="1" applyFill="1" applyBorder="1" applyProtection="1">
      <protection hidden="1"/>
    </xf>
    <xf numFmtId="0" fontId="9" fillId="0" borderId="0" xfId="12" applyFont="1" applyFill="1" applyBorder="1" applyProtection="1">
      <protection hidden="1"/>
    </xf>
    <xf numFmtId="0" fontId="56" fillId="0" borderId="0" xfId="11" applyFont="1" applyFill="1" applyBorder="1" applyAlignment="1" applyProtection="1">
      <alignment vertical="center" wrapText="1"/>
      <protection hidden="1"/>
    </xf>
    <xf numFmtId="170" fontId="48" fillId="14" borderId="0" xfId="12" applyNumberFormat="1" applyFont="1" applyFill="1" applyBorder="1" applyProtection="1">
      <protection hidden="1"/>
    </xf>
    <xf numFmtId="0" fontId="57" fillId="0" borderId="0" xfId="11" applyFont="1" applyFill="1" applyBorder="1" applyAlignment="1" applyProtection="1">
      <alignment vertical="center" wrapText="1"/>
      <protection hidden="1"/>
    </xf>
    <xf numFmtId="0" fontId="55" fillId="0" borderId="0" xfId="18" applyFont="1" applyAlignment="1" applyProtection="1">
      <alignment horizontal="center"/>
      <protection hidden="1"/>
    </xf>
    <xf numFmtId="0" fontId="9" fillId="0" borderId="0" xfId="18" applyAlignment="1" applyProtection="1">
      <alignment horizontal="center"/>
      <protection hidden="1"/>
    </xf>
    <xf numFmtId="0" fontId="22" fillId="3" borderId="3" xfId="18" applyFont="1" applyFill="1" applyBorder="1" applyAlignment="1" applyProtection="1">
      <alignment wrapText="1"/>
      <protection hidden="1"/>
    </xf>
    <xf numFmtId="0" fontId="9" fillId="10" borderId="0" xfId="10" applyNumberFormat="1" applyFill="1" applyProtection="1">
      <protection hidden="1"/>
    </xf>
    <xf numFmtId="0" fontId="18" fillId="0" borderId="0" xfId="16" applyFont="1" applyFill="1" applyBorder="1" applyAlignment="1" applyProtection="1">
      <alignment horizontal="center" vertical="center" wrapText="1"/>
      <protection hidden="1"/>
    </xf>
    <xf numFmtId="0" fontId="11" fillId="3" borderId="3" xfId="18" applyFont="1" applyFill="1" applyBorder="1" applyAlignment="1" applyProtection="1">
      <alignment horizontal="left" wrapText="1"/>
      <protection hidden="1"/>
    </xf>
    <xf numFmtId="170" fontId="13" fillId="14" borderId="3" xfId="18" applyNumberFormat="1" applyFont="1" applyFill="1" applyBorder="1" applyAlignment="1" applyProtection="1">
      <alignment wrapText="1"/>
      <protection hidden="1"/>
    </xf>
    <xf numFmtId="3" fontId="13" fillId="14" borderId="3" xfId="18" applyNumberFormat="1" applyFont="1" applyFill="1" applyBorder="1" applyAlignment="1" applyProtection="1">
      <alignment wrapText="1"/>
      <protection hidden="1"/>
    </xf>
    <xf numFmtId="170" fontId="13" fillId="14" borderId="4" xfId="20" applyNumberFormat="1" applyFont="1" applyFill="1" applyBorder="1" applyAlignment="1" applyProtection="1">
      <alignment wrapText="1"/>
      <protection hidden="1"/>
    </xf>
    <xf numFmtId="3" fontId="13" fillId="0" borderId="0" xfId="19" applyNumberFormat="1" applyFont="1" applyFill="1" applyBorder="1" applyProtection="1">
      <protection hidden="1"/>
    </xf>
    <xf numFmtId="0" fontId="9" fillId="0" borderId="0" xfId="12" applyFont="1" applyFill="1" applyBorder="1" applyAlignment="1" applyProtection="1">
      <alignment horizontal="left" vertical="center" wrapText="1"/>
      <protection hidden="1"/>
    </xf>
    <xf numFmtId="0" fontId="9" fillId="0" borderId="0" xfId="11" applyFont="1" applyFill="1" applyBorder="1" applyAlignment="1" applyProtection="1">
      <alignment horizontal="left" vertical="center" wrapText="1"/>
      <protection hidden="1"/>
    </xf>
    <xf numFmtId="0" fontId="14" fillId="0" borderId="0" xfId="1" applyFont="1" applyBorder="1" applyAlignment="1" applyProtection="1">
      <protection hidden="1"/>
    </xf>
    <xf numFmtId="0" fontId="46" fillId="0" borderId="0" xfId="18" applyFont="1" applyBorder="1" applyAlignment="1" applyProtection="1">
      <protection hidden="1"/>
    </xf>
    <xf numFmtId="0" fontId="9" fillId="0" borderId="0" xfId="18" applyBorder="1" applyAlignment="1" applyProtection="1">
      <protection hidden="1"/>
    </xf>
    <xf numFmtId="0" fontId="22" fillId="3" borderId="81" xfId="18" applyFont="1" applyFill="1" applyBorder="1" applyProtection="1">
      <protection hidden="1"/>
    </xf>
    <xf numFmtId="0" fontId="11" fillId="3" borderId="74" xfId="16" applyFont="1" applyFill="1" applyBorder="1" applyAlignment="1" applyProtection="1">
      <alignment horizontal="center" vertical="center" wrapText="1"/>
      <protection hidden="1"/>
    </xf>
    <xf numFmtId="0" fontId="22" fillId="3" borderId="78" xfId="16" applyFont="1" applyFill="1" applyBorder="1" applyAlignment="1" applyProtection="1">
      <alignment horizontal="center" vertical="center" wrapText="1"/>
      <protection hidden="1"/>
    </xf>
    <xf numFmtId="0" fontId="11" fillId="3" borderId="17" xfId="18" applyFont="1" applyFill="1" applyBorder="1" applyAlignment="1" applyProtection="1">
      <alignment horizontal="right" wrapText="1"/>
      <protection hidden="1"/>
    </xf>
    <xf numFmtId="0" fontId="11" fillId="3" borderId="79" xfId="16" applyFont="1" applyFill="1" applyBorder="1" applyAlignment="1" applyProtection="1">
      <alignment horizontal="right" wrapText="1"/>
      <protection hidden="1"/>
    </xf>
    <xf numFmtId="0" fontId="11" fillId="3" borderId="74" xfId="16" applyFont="1" applyFill="1" applyBorder="1" applyAlignment="1" applyProtection="1">
      <alignment horizontal="right" wrapText="1"/>
      <protection hidden="1"/>
    </xf>
    <xf numFmtId="0" fontId="11" fillId="3" borderId="80" xfId="16" applyFont="1" applyFill="1" applyBorder="1" applyAlignment="1" applyProtection="1">
      <alignment horizontal="right" wrapText="1"/>
      <protection hidden="1"/>
    </xf>
    <xf numFmtId="0" fontId="41" fillId="10" borderId="0" xfId="12" applyFont="1" applyFill="1" applyBorder="1" applyProtection="1">
      <protection hidden="1"/>
    </xf>
    <xf numFmtId="0" fontId="11" fillId="3" borderId="37" xfId="16" applyFont="1" applyFill="1" applyBorder="1" applyAlignment="1" applyProtection="1">
      <alignment horizontal="right" wrapText="1"/>
      <protection hidden="1"/>
    </xf>
    <xf numFmtId="0" fontId="11" fillId="3" borderId="0" xfId="16" applyFont="1" applyFill="1" applyBorder="1" applyAlignment="1" applyProtection="1">
      <alignment horizontal="right" wrapText="1"/>
      <protection hidden="1"/>
    </xf>
    <xf numFmtId="0" fontId="11" fillId="3" borderId="21" xfId="16" applyFont="1" applyFill="1" applyBorder="1" applyAlignment="1" applyProtection="1">
      <alignment horizontal="right" wrapText="1"/>
      <protection hidden="1"/>
    </xf>
    <xf numFmtId="167" fontId="9" fillId="0" borderId="9" xfId="14" applyNumberFormat="1" applyFont="1" applyFill="1" applyBorder="1" applyAlignment="1" applyProtection="1">
      <alignment horizontal="right"/>
      <protection hidden="1"/>
    </xf>
    <xf numFmtId="167" fontId="9" fillId="0" borderId="77" xfId="14" applyNumberFormat="1" applyFont="1" applyFill="1" applyBorder="1" applyProtection="1">
      <protection hidden="1"/>
    </xf>
    <xf numFmtId="167" fontId="9" fillId="0" borderId="21" xfId="14" applyNumberFormat="1" applyFont="1" applyFill="1" applyBorder="1" applyProtection="1">
      <protection hidden="1"/>
    </xf>
    <xf numFmtId="167" fontId="9" fillId="0" borderId="12" xfId="14" applyNumberFormat="1" applyFont="1" applyFill="1" applyBorder="1" applyProtection="1">
      <protection hidden="1"/>
    </xf>
    <xf numFmtId="167" fontId="9" fillId="0" borderId="12" xfId="14" applyNumberFormat="1" applyFont="1" applyFill="1" applyBorder="1" applyAlignment="1" applyProtection="1">
      <alignment horizontal="right"/>
      <protection hidden="1"/>
    </xf>
    <xf numFmtId="167" fontId="9" fillId="0" borderId="49" xfId="14" applyNumberFormat="1" applyFont="1" applyFill="1" applyBorder="1" applyProtection="1">
      <protection hidden="1"/>
    </xf>
    <xf numFmtId="0" fontId="11" fillId="7" borderId="0" xfId="18" applyFont="1" applyFill="1" applyBorder="1" applyAlignment="1" applyProtection="1">
      <alignment wrapText="1"/>
      <protection hidden="1"/>
    </xf>
    <xf numFmtId="170" fontId="13" fillId="0" borderId="9" xfId="12" applyNumberFormat="1" applyFont="1" applyFill="1" applyBorder="1" applyProtection="1">
      <protection hidden="1"/>
    </xf>
    <xf numFmtId="3" fontId="13" fillId="0" borderId="9" xfId="12" applyNumberFormat="1" applyFont="1" applyFill="1" applyBorder="1" applyProtection="1">
      <protection hidden="1"/>
    </xf>
    <xf numFmtId="170" fontId="13" fillId="0" borderId="0" xfId="12" applyNumberFormat="1" applyFont="1" applyFill="1" applyBorder="1" applyProtection="1">
      <protection hidden="1"/>
    </xf>
    <xf numFmtId="3" fontId="13" fillId="0" borderId="0" xfId="12" applyNumberFormat="1" applyFont="1" applyFill="1" applyBorder="1" applyProtection="1">
      <protection hidden="1"/>
    </xf>
    <xf numFmtId="3" fontId="9" fillId="0" borderId="0" xfId="12" applyNumberFormat="1" applyFont="1" applyFill="1" applyBorder="1" applyAlignment="1" applyProtection="1">
      <alignment horizontal="right"/>
      <protection hidden="1"/>
    </xf>
    <xf numFmtId="0" fontId="9" fillId="0" borderId="0" xfId="12" applyFont="1" applyFill="1" applyBorder="1" applyAlignment="1" applyProtection="1">
      <alignment horizontal="right"/>
      <protection hidden="1"/>
    </xf>
    <xf numFmtId="170" fontId="21" fillId="14" borderId="0" xfId="12" applyNumberFormat="1" applyFont="1" applyFill="1" applyBorder="1" applyProtection="1">
      <protection hidden="1"/>
    </xf>
    <xf numFmtId="3" fontId="21" fillId="14" borderId="0" xfId="12" applyNumberFormat="1" applyFont="1" applyFill="1" applyBorder="1" applyProtection="1">
      <protection hidden="1"/>
    </xf>
    <xf numFmtId="170" fontId="21" fillId="14" borderId="16" xfId="12" applyNumberFormat="1" applyFont="1" applyFill="1" applyBorder="1" applyProtection="1">
      <protection hidden="1"/>
    </xf>
    <xf numFmtId="170" fontId="13" fillId="14" borderId="3" xfId="12" applyNumberFormat="1" applyFont="1" applyFill="1" applyBorder="1" applyProtection="1">
      <protection hidden="1"/>
    </xf>
    <xf numFmtId="3" fontId="13" fillId="14" borderId="3" xfId="12" applyNumberFormat="1" applyFont="1" applyFill="1" applyBorder="1" applyProtection="1">
      <protection hidden="1"/>
    </xf>
    <xf numFmtId="170" fontId="13" fillId="14" borderId="4" xfId="12" applyNumberFormat="1" applyFont="1" applyFill="1" applyBorder="1" applyProtection="1">
      <protection hidden="1"/>
    </xf>
    <xf numFmtId="0" fontId="22" fillId="3" borderId="0" xfId="18" applyFont="1" applyFill="1" applyBorder="1" applyAlignment="1" applyProtection="1">
      <alignment wrapText="1"/>
      <protection hidden="1"/>
    </xf>
    <xf numFmtId="0" fontId="22" fillId="3" borderId="0" xfId="18" applyFont="1" applyFill="1" applyBorder="1" applyAlignment="1" applyProtection="1">
      <alignment horizontal="right" wrapText="1"/>
      <protection hidden="1"/>
    </xf>
    <xf numFmtId="0" fontId="22" fillId="3" borderId="35" xfId="18" applyFont="1" applyFill="1" applyBorder="1" applyAlignment="1" applyProtection="1">
      <alignment horizontal="right" wrapText="1"/>
      <protection hidden="1"/>
    </xf>
    <xf numFmtId="167" fontId="48" fillId="14" borderId="16" xfId="14" applyNumberFormat="1" applyFont="1" applyFill="1" applyBorder="1" applyProtection="1">
      <protection hidden="1"/>
    </xf>
    <xf numFmtId="167" fontId="9" fillId="14" borderId="4" xfId="14" applyNumberFormat="1" applyFont="1" applyFill="1" applyBorder="1" applyProtection="1">
      <protection hidden="1"/>
    </xf>
    <xf numFmtId="0" fontId="36" fillId="0" borderId="0" xfId="12" applyFont="1" applyProtection="1">
      <protection hidden="1"/>
    </xf>
    <xf numFmtId="0" fontId="12" fillId="7" borderId="9" xfId="1" applyNumberFormat="1" applyFont="1" applyFill="1" applyBorder="1" applyAlignment="1" applyProtection="1">
      <alignment horizontal="right"/>
      <protection hidden="1"/>
    </xf>
    <xf numFmtId="3" fontId="12" fillId="7" borderId="9" xfId="1" applyNumberFormat="1" applyFont="1" applyFill="1" applyBorder="1" applyAlignment="1" applyProtection="1">
      <alignment horizontal="right"/>
      <protection hidden="1"/>
    </xf>
    <xf numFmtId="9" fontId="9" fillId="7" borderId="9" xfId="1" applyNumberFormat="1" applyFill="1" applyBorder="1" applyAlignment="1" applyProtection="1">
      <alignment horizontal="right" wrapText="1"/>
      <protection hidden="1"/>
    </xf>
    <xf numFmtId="3" fontId="9" fillId="7" borderId="9" xfId="1" applyNumberFormat="1" applyFill="1" applyBorder="1" applyAlignment="1" applyProtection="1">
      <alignment horizontal="right" wrapText="1"/>
      <protection hidden="1"/>
    </xf>
    <xf numFmtId="9" fontId="12" fillId="7" borderId="9" xfId="1" applyNumberFormat="1" applyFont="1" applyFill="1" applyBorder="1" applyAlignment="1" applyProtection="1">
      <alignment horizontal="right" wrapText="1"/>
      <protection hidden="1"/>
    </xf>
    <xf numFmtId="0" fontId="9" fillId="0" borderId="0" xfId="1" applyBorder="1" applyAlignment="1" applyProtection="1">
      <protection hidden="1"/>
    </xf>
    <xf numFmtId="164" fontId="13" fillId="7" borderId="0" xfId="6" applyFont="1" applyFill="1" applyBorder="1" applyAlignment="1" applyProtection="1">
      <alignment horizontal="right" wrapText="1"/>
      <protection hidden="1"/>
    </xf>
    <xf numFmtId="0" fontId="9" fillId="0" borderId="40" xfId="1" applyBorder="1" applyProtection="1">
      <protection hidden="1"/>
    </xf>
    <xf numFmtId="0" fontId="9" fillId="10" borderId="0" xfId="10" applyNumberFormat="1" applyFont="1" applyFill="1" applyBorder="1" applyProtection="1">
      <protection hidden="1"/>
    </xf>
    <xf numFmtId="9" fontId="13" fillId="0" borderId="10" xfId="1" applyNumberFormat="1" applyFont="1" applyBorder="1" applyAlignment="1" applyProtection="1">
      <alignment wrapText="1"/>
      <protection hidden="1"/>
    </xf>
    <xf numFmtId="0" fontId="9" fillId="7" borderId="9" xfId="0" applyNumberFormat="1" applyFont="1" applyFill="1" applyBorder="1" applyAlignment="1" applyProtection="1">
      <alignment horizontal="right"/>
      <protection hidden="1"/>
    </xf>
    <xf numFmtId="0" fontId="9" fillId="13" borderId="0" xfId="1" applyFill="1" applyAlignment="1" applyProtection="1">
      <alignment wrapText="1"/>
      <protection hidden="1"/>
    </xf>
    <xf numFmtId="0" fontId="25" fillId="0" borderId="0" xfId="1" applyFont="1" applyFill="1" applyProtection="1">
      <protection hidden="1"/>
    </xf>
    <xf numFmtId="0" fontId="33" fillId="0" borderId="0" xfId="1" applyNumberFormat="1" applyFont="1" applyBorder="1" applyAlignment="1" applyProtection="1">
      <alignment horizontal="right"/>
      <protection hidden="1"/>
    </xf>
    <xf numFmtId="0" fontId="13" fillId="4" borderId="0" xfId="2" applyNumberFormat="1" applyFont="1" applyFill="1" applyAlignment="1" applyProtection="1">
      <alignment wrapText="1"/>
      <protection hidden="1"/>
    </xf>
    <xf numFmtId="0" fontId="13" fillId="0" borderId="0" xfId="2" applyNumberFormat="1" applyFont="1" applyAlignment="1" applyProtection="1">
      <alignment wrapText="1"/>
      <protection hidden="1"/>
    </xf>
    <xf numFmtId="9" fontId="13" fillId="4" borderId="0" xfId="1" applyNumberFormat="1" applyFont="1" applyFill="1" applyAlignment="1" applyProtection="1">
      <alignment wrapText="1"/>
      <protection hidden="1"/>
    </xf>
    <xf numFmtId="0" fontId="13" fillId="4" borderId="0" xfId="2" applyNumberFormat="1" applyFont="1" applyFill="1" applyAlignment="1" applyProtection="1">
      <alignment horizontal="right" wrapText="1"/>
      <protection hidden="1"/>
    </xf>
    <xf numFmtId="0" fontId="13" fillId="0" borderId="0" xfId="2" applyNumberFormat="1" applyFont="1" applyAlignment="1" applyProtection="1">
      <alignment horizontal="right" wrapText="1"/>
      <protection hidden="1"/>
    </xf>
    <xf numFmtId="165" fontId="13" fillId="6" borderId="3" xfId="4" applyNumberFormat="1" applyFont="1" applyFill="1" applyBorder="1" applyAlignment="1" applyProtection="1">
      <alignment horizontal="right" wrapText="1"/>
      <protection hidden="1"/>
    </xf>
    <xf numFmtId="9" fontId="13" fillId="4" borderId="10" xfId="1" applyNumberFormat="1" applyFont="1" applyFill="1" applyBorder="1" applyAlignment="1" applyProtection="1">
      <alignment wrapText="1"/>
      <protection hidden="1"/>
    </xf>
    <xf numFmtId="0" fontId="13" fillId="9" borderId="10" xfId="1" applyNumberFormat="1" applyFont="1" applyFill="1" applyBorder="1" applyAlignment="1" applyProtection="1">
      <alignment wrapText="1"/>
      <protection hidden="1"/>
    </xf>
    <xf numFmtId="0" fontId="11" fillId="3" borderId="9" xfId="1" applyFont="1" applyFill="1" applyBorder="1" applyAlignment="1" applyProtection="1">
      <alignment wrapText="1"/>
      <protection hidden="1"/>
    </xf>
    <xf numFmtId="0" fontId="20" fillId="4" borderId="9" xfId="1" applyNumberFormat="1" applyFont="1" applyFill="1" applyBorder="1" applyAlignment="1" applyProtection="1">
      <alignment wrapText="1"/>
      <protection hidden="1"/>
    </xf>
    <xf numFmtId="0" fontId="21" fillId="4" borderId="3" xfId="1" applyNumberFormat="1" applyFont="1" applyFill="1" applyBorder="1" applyAlignment="1" applyProtection="1">
      <alignment wrapText="1"/>
      <protection hidden="1"/>
    </xf>
    <xf numFmtId="0" fontId="20" fillId="0" borderId="9" xfId="1" applyNumberFormat="1" applyFont="1" applyBorder="1" applyAlignment="1" applyProtection="1">
      <alignment wrapText="1"/>
      <protection hidden="1"/>
    </xf>
    <xf numFmtId="0" fontId="21" fillId="0" borderId="3" xfId="1" applyNumberFormat="1" applyFont="1" applyBorder="1" applyAlignment="1" applyProtection="1">
      <alignment wrapText="1"/>
      <protection hidden="1"/>
    </xf>
    <xf numFmtId="0" fontId="28" fillId="0" borderId="0" xfId="1" applyNumberFormat="1" applyFont="1" applyBorder="1" applyAlignment="1" applyProtection="1">
      <alignment horizontal="right"/>
      <protection hidden="1"/>
    </xf>
    <xf numFmtId="0" fontId="28" fillId="0" borderId="0" xfId="1" applyNumberFormat="1" applyFont="1" applyBorder="1" applyAlignment="1" applyProtection="1">
      <alignment horizontal="right" wrapText="1"/>
      <protection hidden="1"/>
    </xf>
    <xf numFmtId="0" fontId="9" fillId="3" borderId="8" xfId="1" applyFont="1" applyFill="1" applyBorder="1" applyProtection="1">
      <protection hidden="1"/>
    </xf>
    <xf numFmtId="0" fontId="11" fillId="3" borderId="24" xfId="5" applyFont="1" applyFill="1" applyBorder="1" applyAlignment="1" applyProtection="1">
      <alignment horizontal="right" vertical="center" wrapText="1"/>
      <protection hidden="1"/>
    </xf>
    <xf numFmtId="0" fontId="11" fillId="3" borderId="25" xfId="5" applyFont="1" applyFill="1" applyBorder="1" applyAlignment="1" applyProtection="1">
      <alignment horizontal="right" vertical="center" wrapText="1"/>
      <protection hidden="1"/>
    </xf>
    <xf numFmtId="0" fontId="11" fillId="3" borderId="27" xfId="5" applyFont="1" applyFill="1" applyBorder="1" applyAlignment="1" applyProtection="1">
      <alignment horizontal="right" vertical="center" wrapText="1"/>
      <protection hidden="1"/>
    </xf>
    <xf numFmtId="0" fontId="22" fillId="3" borderId="16" xfId="1" applyFont="1" applyFill="1" applyBorder="1" applyAlignment="1" applyProtection="1">
      <alignment horizontal="right" wrapText="1"/>
      <protection hidden="1"/>
    </xf>
    <xf numFmtId="0" fontId="9" fillId="0" borderId="10" xfId="1" applyFont="1" applyFill="1" applyBorder="1" applyProtection="1">
      <protection hidden="1"/>
    </xf>
    <xf numFmtId="0" fontId="9" fillId="0" borderId="6" xfId="1" applyFont="1" applyBorder="1" applyProtection="1">
      <protection hidden="1"/>
    </xf>
    <xf numFmtId="0" fontId="9" fillId="0" borderId="7" xfId="1" applyFont="1" applyBorder="1" applyProtection="1">
      <protection hidden="1"/>
    </xf>
    <xf numFmtId="0" fontId="9" fillId="0" borderId="2" xfId="1" applyFont="1" applyFill="1" applyBorder="1" applyProtection="1">
      <protection hidden="1"/>
    </xf>
    <xf numFmtId="0" fontId="9" fillId="0" borderId="3" xfId="1" applyFont="1" applyBorder="1" applyProtection="1">
      <protection hidden="1"/>
    </xf>
    <xf numFmtId="0" fontId="9" fillId="0" borderId="11" xfId="1" applyFont="1" applyBorder="1" applyProtection="1">
      <protection hidden="1"/>
    </xf>
    <xf numFmtId="0" fontId="29" fillId="7" borderId="0" xfId="0" applyFont="1" applyFill="1" applyBorder="1" applyAlignment="1" applyProtection="1">
      <alignment horizontal="right"/>
      <protection hidden="1"/>
    </xf>
    <xf numFmtId="9" fontId="29" fillId="7" borderId="0" xfId="0" applyNumberFormat="1" applyFont="1" applyFill="1" applyBorder="1" applyAlignment="1" applyProtection="1">
      <alignment horizontal="right"/>
      <protection hidden="1"/>
    </xf>
    <xf numFmtId="0" fontId="13" fillId="7" borderId="0" xfId="0" applyFont="1" applyFill="1" applyBorder="1" applyProtection="1">
      <protection hidden="1"/>
    </xf>
    <xf numFmtId="3" fontId="13" fillId="7" borderId="0" xfId="0" applyNumberFormat="1" applyFont="1" applyFill="1" applyBorder="1" applyAlignment="1" applyProtection="1">
      <alignment horizontal="right"/>
      <protection hidden="1"/>
    </xf>
    <xf numFmtId="0" fontId="13" fillId="7" borderId="63" xfId="0" applyNumberFormat="1" applyFont="1" applyFill="1" applyBorder="1" applyAlignment="1" applyProtection="1">
      <alignment horizontal="right"/>
      <protection hidden="1"/>
    </xf>
    <xf numFmtId="0" fontId="13" fillId="7" borderId="9" xfId="0" applyNumberFormat="1" applyFont="1" applyFill="1" applyBorder="1" applyAlignment="1" applyProtection="1">
      <alignment horizontal="right"/>
      <protection hidden="1"/>
    </xf>
    <xf numFmtId="9" fontId="22" fillId="0" borderId="0" xfId="1" applyNumberFormat="1" applyFont="1" applyProtection="1">
      <protection hidden="1"/>
    </xf>
    <xf numFmtId="0" fontId="9" fillId="0" borderId="0" xfId="8" applyFont="1" applyBorder="1" applyProtection="1">
      <alignment horizontal="left" vertical="center" wrapText="1"/>
      <protection hidden="1"/>
    </xf>
    <xf numFmtId="1" fontId="34" fillId="7" borderId="0" xfId="4" applyNumberFormat="1" applyFont="1" applyFill="1" applyBorder="1" applyAlignment="1" applyProtection="1">
      <alignment horizontal="right"/>
      <protection hidden="1"/>
    </xf>
    <xf numFmtId="0" fontId="9" fillId="3" borderId="72" xfId="1" applyFill="1" applyBorder="1" applyProtection="1">
      <protection hidden="1"/>
    </xf>
    <xf numFmtId="0" fontId="9" fillId="0" borderId="10" xfId="1" applyFill="1" applyBorder="1" applyProtection="1">
      <protection hidden="1"/>
    </xf>
    <xf numFmtId="0" fontId="9" fillId="0" borderId="6" xfId="1" applyBorder="1" applyProtection="1">
      <protection hidden="1"/>
    </xf>
    <xf numFmtId="0" fontId="9" fillId="0" borderId="7" xfId="1" applyBorder="1" applyProtection="1">
      <protection hidden="1"/>
    </xf>
    <xf numFmtId="0" fontId="9" fillId="0" borderId="2" xfId="1" applyFill="1" applyBorder="1" applyProtection="1">
      <protection hidden="1"/>
    </xf>
    <xf numFmtId="0" fontId="9" fillId="0" borderId="3" xfId="1" applyBorder="1" applyProtection="1">
      <protection hidden="1"/>
    </xf>
    <xf numFmtId="0" fontId="9" fillId="0" borderId="11" xfId="1" applyBorder="1" applyProtection="1">
      <protection hidden="1"/>
    </xf>
    <xf numFmtId="0" fontId="9" fillId="0" borderId="0" xfId="1" applyBorder="1" applyAlignment="1" applyProtection="1">
      <alignment wrapText="1"/>
      <protection hidden="1"/>
    </xf>
    <xf numFmtId="3" fontId="9" fillId="0" borderId="0" xfId="1" applyNumberFormat="1" applyBorder="1" applyAlignment="1" applyProtection="1">
      <alignment horizontal="right" wrapText="1"/>
      <protection hidden="1"/>
    </xf>
    <xf numFmtId="9" fontId="0" fillId="0" borderId="0" xfId="2" applyFont="1" applyBorder="1" applyAlignment="1" applyProtection="1">
      <alignment horizontal="right" wrapText="1"/>
      <protection hidden="1"/>
    </xf>
    <xf numFmtId="3" fontId="15" fillId="0" borderId="0" xfId="1" applyNumberFormat="1" applyFont="1" applyBorder="1" applyAlignment="1" applyProtection="1">
      <alignment horizontal="right"/>
      <protection hidden="1"/>
    </xf>
    <xf numFmtId="0" fontId="12" fillId="0" borderId="0" xfId="1" applyFont="1" applyBorder="1" applyAlignment="1" applyProtection="1">
      <alignment wrapText="1"/>
      <protection hidden="1"/>
    </xf>
    <xf numFmtId="0" fontId="9" fillId="0" borderId="10" xfId="1" applyNumberFormat="1" applyBorder="1" applyAlignment="1" applyProtection="1">
      <alignment horizontal="left" wrapText="1"/>
      <protection hidden="1"/>
    </xf>
    <xf numFmtId="0" fontId="9" fillId="0" borderId="16" xfId="1" applyNumberFormat="1" applyBorder="1" applyAlignment="1" applyProtection="1">
      <alignment horizontal="right" wrapText="1"/>
      <protection hidden="1"/>
    </xf>
    <xf numFmtId="0" fontId="18" fillId="5" borderId="2" xfId="1" applyNumberFormat="1" applyFont="1" applyFill="1" applyBorder="1" applyAlignment="1" applyProtection="1">
      <alignment vertical="center" wrapText="1"/>
      <protection hidden="1"/>
    </xf>
    <xf numFmtId="0" fontId="9" fillId="5" borderId="3" xfId="1" applyNumberFormat="1" applyFont="1" applyFill="1" applyBorder="1" applyAlignment="1" applyProtection="1">
      <alignment horizontal="right"/>
      <protection hidden="1"/>
    </xf>
    <xf numFmtId="3" fontId="9" fillId="5" borderId="3" xfId="1" applyNumberFormat="1" applyFont="1" applyFill="1" applyBorder="1" applyAlignment="1" applyProtection="1">
      <alignment horizontal="right"/>
      <protection hidden="1"/>
    </xf>
    <xf numFmtId="9" fontId="9" fillId="5" borderId="3" xfId="1" applyNumberFormat="1" applyFont="1" applyFill="1" applyBorder="1" applyAlignment="1" applyProtection="1">
      <alignment horizontal="right" wrapText="1"/>
      <protection hidden="1"/>
    </xf>
    <xf numFmtId="3" fontId="9" fillId="5" borderId="3" xfId="1" applyNumberFormat="1" applyFont="1" applyFill="1" applyBorder="1" applyAlignment="1" applyProtection="1">
      <alignment horizontal="right" wrapText="1"/>
      <protection hidden="1"/>
    </xf>
    <xf numFmtId="9" fontId="9" fillId="5" borderId="4" xfId="1" applyNumberFormat="1" applyFont="1" applyFill="1" applyBorder="1" applyAlignment="1" applyProtection="1">
      <alignment horizontal="right" wrapText="1"/>
      <protection hidden="1"/>
    </xf>
    <xf numFmtId="0" fontId="13" fillId="0" borderId="7" xfId="1" applyFont="1" applyFill="1" applyBorder="1" applyAlignment="1" applyProtection="1">
      <alignment horizontal="right" wrapText="1"/>
      <protection hidden="1"/>
    </xf>
    <xf numFmtId="165" fontId="13" fillId="7" borderId="11" xfId="4" applyNumberFormat="1" applyFont="1" applyFill="1" applyBorder="1" applyAlignment="1" applyProtection="1">
      <alignment horizontal="right" wrapText="1"/>
      <protection hidden="1"/>
    </xf>
    <xf numFmtId="0" fontId="9" fillId="7" borderId="0" xfId="0" applyNumberFormat="1" applyFont="1" applyFill="1" applyBorder="1" applyAlignment="1" applyProtection="1">
      <alignment horizontal="right"/>
      <protection hidden="1"/>
    </xf>
    <xf numFmtId="0" fontId="9" fillId="3" borderId="71" xfId="1" applyFill="1" applyBorder="1" applyProtection="1">
      <protection hidden="1"/>
    </xf>
    <xf numFmtId="0" fontId="13" fillId="4" borderId="5" xfId="1" applyFont="1" applyFill="1" applyBorder="1" applyAlignment="1" applyProtection="1">
      <alignment horizontal="right" wrapText="1"/>
      <protection hidden="1"/>
    </xf>
    <xf numFmtId="0" fontId="0" fillId="7" borderId="63" xfId="0" applyNumberFormat="1" applyFont="1" applyFill="1" applyBorder="1" applyAlignment="1" applyProtection="1">
      <alignment horizontal="right"/>
      <protection hidden="1"/>
    </xf>
    <xf numFmtId="0" fontId="36" fillId="14" borderId="0" xfId="12" applyFill="1" applyBorder="1"/>
    <xf numFmtId="0" fontId="7" fillId="0" borderId="0" xfId="12" applyFont="1" applyAlignment="1">
      <alignment wrapText="1"/>
    </xf>
    <xf numFmtId="0" fontId="7" fillId="0" borderId="0" xfId="12" applyFont="1"/>
    <xf numFmtId="0" fontId="7" fillId="0" borderId="0" xfId="12" applyFont="1" applyAlignment="1">
      <alignment horizontal="left" wrapText="1"/>
    </xf>
    <xf numFmtId="0" fontId="7" fillId="0" borderId="0" xfId="12" applyFont="1" applyAlignment="1">
      <alignment vertical="top" wrapText="1"/>
    </xf>
    <xf numFmtId="0" fontId="6" fillId="0" borderId="0" xfId="28" applyFont="1" applyAlignment="1">
      <alignment horizontal="left" vertical="top" wrapText="1" indent="2"/>
    </xf>
    <xf numFmtId="0" fontId="5" fillId="0" borderId="0" xfId="12" applyFont="1"/>
    <xf numFmtId="0" fontId="65" fillId="0" borderId="0" xfId="27" applyAlignment="1">
      <alignment horizontal="center"/>
    </xf>
    <xf numFmtId="0" fontId="4" fillId="0" borderId="0" xfId="28" applyFont="1" applyAlignment="1">
      <alignment horizontal="left" vertical="top" wrapText="1" indent="2"/>
    </xf>
    <xf numFmtId="0" fontId="3" fillId="0" borderId="0" xfId="28" applyFont="1" applyAlignment="1">
      <alignment horizontal="justify" vertical="top" wrapText="1"/>
    </xf>
    <xf numFmtId="0" fontId="2" fillId="0" borderId="0" xfId="12" applyFont="1" applyAlignment="1">
      <alignment wrapText="1"/>
    </xf>
    <xf numFmtId="9" fontId="13" fillId="16" borderId="94" xfId="18" applyNumberFormat="1" applyFont="1" applyFill="1" applyBorder="1" applyAlignment="1" applyProtection="1">
      <alignment wrapText="1"/>
      <protection hidden="1"/>
    </xf>
    <xf numFmtId="9" fontId="13" fillId="0" borderId="95" xfId="18" applyNumberFormat="1" applyFont="1" applyBorder="1" applyAlignment="1" applyProtection="1">
      <alignment wrapText="1"/>
      <protection hidden="1"/>
    </xf>
    <xf numFmtId="9" fontId="13" fillId="16" borderId="95" xfId="18" applyNumberFormat="1" applyFont="1" applyFill="1" applyBorder="1" applyAlignment="1" applyProtection="1">
      <alignment wrapText="1"/>
      <protection hidden="1"/>
    </xf>
    <xf numFmtId="3" fontId="9" fillId="16" borderId="94" xfId="10" applyNumberFormat="1" applyFont="1" applyFill="1" applyBorder="1" applyAlignment="1" applyProtection="1">
      <protection hidden="1"/>
    </xf>
    <xf numFmtId="0" fontId="9" fillId="0" borderId="95" xfId="15" applyNumberFormat="1" applyFont="1" applyFill="1" applyBorder="1" applyAlignment="1" applyProtection="1">
      <protection hidden="1"/>
    </xf>
    <xf numFmtId="0" fontId="9" fillId="16" borderId="95" xfId="15" applyNumberFormat="1" applyFont="1" applyFill="1" applyBorder="1" applyAlignment="1" applyProtection="1">
      <protection hidden="1"/>
    </xf>
    <xf numFmtId="3" fontId="9" fillId="0" borderId="16" xfId="10" applyNumberFormat="1" applyFont="1" applyFill="1" applyBorder="1" applyProtection="1">
      <protection hidden="1"/>
    </xf>
    <xf numFmtId="0" fontId="9" fillId="0" borderId="8" xfId="11" applyFont="1" applyFill="1" applyBorder="1" applyAlignment="1" applyProtection="1">
      <alignment vertical="center" wrapText="1"/>
      <protection hidden="1"/>
    </xf>
    <xf numFmtId="170" fontId="9" fillId="0" borderId="22" xfId="12" applyNumberFormat="1" applyFont="1" applyFill="1" applyBorder="1" applyProtection="1">
      <protection hidden="1"/>
    </xf>
    <xf numFmtId="0" fontId="9" fillId="0" borderId="10" xfId="11" applyFont="1" applyFill="1" applyBorder="1" applyAlignment="1" applyProtection="1">
      <alignment vertical="center" wrapText="1"/>
      <protection hidden="1"/>
    </xf>
    <xf numFmtId="170" fontId="9" fillId="0" borderId="16" xfId="12" applyNumberFormat="1" applyFont="1" applyFill="1" applyBorder="1" applyProtection="1">
      <protection hidden="1"/>
    </xf>
    <xf numFmtId="0" fontId="9" fillId="14" borderId="3" xfId="10" applyNumberFormat="1" applyFont="1" applyFill="1" applyBorder="1" applyProtection="1">
      <protection hidden="1"/>
    </xf>
    <xf numFmtId="170" fontId="9" fillId="14" borderId="3" xfId="12" applyNumberFormat="1" applyFont="1" applyFill="1" applyBorder="1" applyProtection="1">
      <protection hidden="1"/>
    </xf>
    <xf numFmtId="9" fontId="82" fillId="7" borderId="0" xfId="0" applyNumberFormat="1" applyFont="1" applyFill="1" applyBorder="1" applyAlignment="1" applyProtection="1">
      <alignment horizontal="right"/>
      <protection hidden="1"/>
    </xf>
    <xf numFmtId="0" fontId="11" fillId="3" borderId="10" xfId="1" applyFont="1" applyFill="1" applyBorder="1" applyAlignment="1" applyProtection="1">
      <alignment horizontal="right" wrapText="1"/>
      <protection hidden="1"/>
    </xf>
    <xf numFmtId="0" fontId="13" fillId="4" borderId="8" xfId="1" applyFont="1" applyFill="1" applyBorder="1" applyAlignment="1" applyProtection="1">
      <alignment horizontal="right" wrapText="1"/>
      <protection hidden="1"/>
    </xf>
    <xf numFmtId="0" fontId="13" fillId="4" borderId="9" xfId="1" applyFont="1" applyFill="1" applyBorder="1" applyAlignment="1" applyProtection="1">
      <alignment horizontal="right" wrapText="1"/>
      <protection hidden="1"/>
    </xf>
    <xf numFmtId="9" fontId="13" fillId="4" borderId="22" xfId="2" applyFont="1" applyFill="1" applyBorder="1" applyAlignment="1" applyProtection="1">
      <alignment horizontal="right" wrapText="1"/>
      <protection hidden="1"/>
    </xf>
    <xf numFmtId="9" fontId="13" fillId="4" borderId="10" xfId="2" applyFont="1" applyFill="1" applyBorder="1" applyAlignment="1" applyProtection="1">
      <alignment horizontal="right" wrapText="1"/>
      <protection hidden="1"/>
    </xf>
    <xf numFmtId="9" fontId="13" fillId="9" borderId="10" xfId="2" applyFont="1" applyFill="1" applyBorder="1" applyAlignment="1" applyProtection="1">
      <alignment horizontal="right" wrapText="1"/>
      <protection hidden="1"/>
    </xf>
    <xf numFmtId="0" fontId="13" fillId="0" borderId="2" xfId="1" applyFont="1" applyBorder="1" applyAlignment="1" applyProtection="1">
      <alignment horizontal="right" wrapText="1"/>
      <protection hidden="1"/>
    </xf>
    <xf numFmtId="0" fontId="13" fillId="0" borderId="3" xfId="1" applyFont="1" applyBorder="1" applyAlignment="1" applyProtection="1">
      <alignment horizontal="right" wrapText="1"/>
      <protection hidden="1"/>
    </xf>
    <xf numFmtId="9" fontId="13" fillId="0" borderId="4" xfId="2" applyFont="1" applyBorder="1" applyAlignment="1" applyProtection="1">
      <alignment horizontal="right" wrapText="1"/>
      <protection hidden="1"/>
    </xf>
    <xf numFmtId="0" fontId="39" fillId="0" borderId="0" xfId="12" applyFont="1" applyAlignment="1">
      <alignment horizontal="left" wrapText="1"/>
    </xf>
    <xf numFmtId="0" fontId="65" fillId="0" borderId="0" xfId="27" applyAlignment="1">
      <alignment horizontal="left"/>
    </xf>
    <xf numFmtId="9" fontId="0" fillId="0" borderId="93" xfId="20" applyNumberFormat="1" applyFont="1" applyFill="1" applyBorder="1" applyAlignment="1">
      <alignment horizontal="right" wrapText="1"/>
    </xf>
    <xf numFmtId="3" fontId="13" fillId="14" borderId="10" xfId="18" applyNumberFormat="1" applyFont="1" applyFill="1" applyBorder="1" applyAlignment="1" applyProtection="1">
      <alignment wrapText="1"/>
      <protection hidden="1"/>
    </xf>
    <xf numFmtId="0" fontId="9" fillId="10" borderId="9" xfId="10" applyNumberFormat="1" applyFont="1" applyFill="1" applyBorder="1" applyAlignment="1" applyProtection="1">
      <protection hidden="1"/>
    </xf>
    <xf numFmtId="0" fontId="0" fillId="14" borderId="0" xfId="12" applyFont="1" applyFill="1" applyBorder="1" applyAlignment="1">
      <alignment horizontal="left" vertical="top" wrapText="1"/>
    </xf>
    <xf numFmtId="0" fontId="23" fillId="14" borderId="0" xfId="12" applyFont="1" applyFill="1" applyBorder="1" applyAlignment="1">
      <alignment horizontal="left" vertical="top" wrapText="1"/>
    </xf>
    <xf numFmtId="0" fontId="65" fillId="0" borderId="0" xfId="27" applyAlignment="1" applyProtection="1">
      <alignment horizontal="right"/>
      <protection hidden="1"/>
    </xf>
    <xf numFmtId="165" fontId="11" fillId="3" borderId="42" xfId="6" applyNumberFormat="1" applyFont="1" applyFill="1" applyBorder="1" applyAlignment="1" applyProtection="1">
      <alignment horizontal="center" vertical="center" wrapText="1"/>
      <protection hidden="1"/>
    </xf>
    <xf numFmtId="165" fontId="11" fillId="3" borderId="25" xfId="6" applyNumberFormat="1" applyFont="1" applyFill="1" applyBorder="1" applyAlignment="1" applyProtection="1">
      <alignment horizontal="center" vertical="center" wrapText="1"/>
      <protection hidden="1"/>
    </xf>
    <xf numFmtId="165" fontId="11" fillId="3" borderId="43" xfId="6" applyNumberFormat="1" applyFont="1" applyFill="1" applyBorder="1" applyAlignment="1" applyProtection="1">
      <alignment horizontal="center" vertical="center" wrapText="1"/>
      <protection hidden="1"/>
    </xf>
    <xf numFmtId="0" fontId="11" fillId="3" borderId="44" xfId="5" applyFont="1" applyFill="1" applyBorder="1" applyAlignment="1" applyProtection="1">
      <alignment horizontal="center" vertical="center" wrapText="1"/>
      <protection hidden="1"/>
    </xf>
    <xf numFmtId="0" fontId="11" fillId="3" borderId="45" xfId="5" applyFont="1" applyFill="1" applyBorder="1" applyAlignment="1" applyProtection="1">
      <alignment horizontal="center" vertical="center" wrapText="1"/>
      <protection hidden="1"/>
    </xf>
    <xf numFmtId="0" fontId="11" fillId="3" borderId="46" xfId="5" applyFont="1" applyFill="1" applyBorder="1" applyAlignment="1" applyProtection="1">
      <alignment horizontal="center" vertical="center" wrapText="1"/>
      <protection hidden="1"/>
    </xf>
    <xf numFmtId="0" fontId="9" fillId="0" borderId="0" xfId="1" applyFont="1" applyAlignment="1" applyProtection="1">
      <alignment horizontal="center" wrapText="1"/>
      <protection hidden="1"/>
    </xf>
    <xf numFmtId="0" fontId="9" fillId="0" borderId="0" xfId="1" applyFont="1" applyAlignment="1" applyProtection="1">
      <alignment horizontal="center"/>
      <protection hidden="1"/>
    </xf>
    <xf numFmtId="0" fontId="11" fillId="3" borderId="66" xfId="5" applyFont="1" applyFill="1" applyBorder="1" applyAlignment="1" applyProtection="1">
      <alignment horizontal="center" vertical="center" wrapText="1"/>
      <protection hidden="1"/>
    </xf>
    <xf numFmtId="0" fontId="9" fillId="0" borderId="0" xfId="1" applyFont="1" applyBorder="1" applyAlignment="1" applyProtection="1">
      <alignment horizontal="center"/>
      <protection hidden="1"/>
    </xf>
    <xf numFmtId="0" fontId="11" fillId="0" borderId="0" xfId="1" applyFont="1" applyAlignment="1" applyProtection="1">
      <alignment horizontal="center" wrapText="1"/>
      <protection hidden="1"/>
    </xf>
    <xf numFmtId="0" fontId="9" fillId="0" borderId="0" xfId="1" applyAlignment="1" applyProtection="1">
      <alignment horizontal="center"/>
      <protection hidden="1"/>
    </xf>
    <xf numFmtId="0" fontId="9" fillId="0" borderId="0" xfId="1" applyBorder="1" applyAlignment="1" applyProtection="1">
      <alignment horizontal="center"/>
      <protection hidden="1"/>
    </xf>
    <xf numFmtId="0" fontId="9" fillId="0" borderId="0" xfId="18" applyAlignment="1" applyProtection="1">
      <alignment horizontal="center"/>
      <protection hidden="1"/>
    </xf>
    <xf numFmtId="0" fontId="65" fillId="0" borderId="0" xfId="27" applyAlignment="1">
      <alignment horizontal="right"/>
    </xf>
    <xf numFmtId="0" fontId="9" fillId="0" borderId="0" xfId="18" applyAlignment="1" applyProtection="1">
      <alignment horizontal="center" wrapText="1"/>
      <protection hidden="1"/>
    </xf>
    <xf numFmtId="0" fontId="22" fillId="3" borderId="5" xfId="16" applyFont="1" applyFill="1" applyBorder="1" applyAlignment="1" applyProtection="1">
      <alignment horizontal="center" vertical="center" wrapText="1"/>
      <protection hidden="1"/>
    </xf>
    <xf numFmtId="0" fontId="22" fillId="3" borderId="83" xfId="16" applyFont="1" applyFill="1" applyBorder="1" applyAlignment="1" applyProtection="1">
      <alignment horizontal="center" vertical="center" wrapText="1"/>
      <protection hidden="1"/>
    </xf>
    <xf numFmtId="0" fontId="48" fillId="0" borderId="0" xfId="18" applyFont="1" applyAlignment="1" applyProtection="1">
      <alignment horizontal="center"/>
      <protection hidden="1"/>
    </xf>
    <xf numFmtId="0" fontId="9" fillId="0" borderId="0" xfId="18" applyBorder="1" applyAlignment="1" applyProtection="1">
      <alignment horizontal="center"/>
      <protection hidden="1"/>
    </xf>
    <xf numFmtId="0" fontId="9" fillId="0" borderId="0" xfId="1" applyAlignment="1" applyProtection="1">
      <alignment horizontal="center" wrapText="1"/>
      <protection hidden="1"/>
    </xf>
    <xf numFmtId="0" fontId="9" fillId="0" borderId="0" xfId="12" applyFont="1" applyFill="1" applyBorder="1" applyAlignment="1" applyProtection="1">
      <alignment horizontal="center"/>
      <protection hidden="1"/>
    </xf>
    <xf numFmtId="0" fontId="36" fillId="0" borderId="0" xfId="12" applyFill="1" applyBorder="1" applyAlignment="1" applyProtection="1">
      <alignment horizontal="center"/>
      <protection hidden="1"/>
    </xf>
    <xf numFmtId="0" fontId="51" fillId="0" borderId="0" xfId="18" applyFont="1" applyAlignment="1" applyProtection="1">
      <alignment horizontal="center"/>
      <protection hidden="1"/>
    </xf>
    <xf numFmtId="0" fontId="55" fillId="0" borderId="0" xfId="18" applyFont="1" applyAlignment="1" applyProtection="1">
      <alignment horizontal="center"/>
      <protection hidden="1"/>
    </xf>
    <xf numFmtId="0" fontId="22" fillId="3" borderId="24" xfId="16" applyFont="1" applyFill="1" applyBorder="1" applyAlignment="1" applyProtection="1">
      <alignment horizontal="center" vertical="center" wrapText="1"/>
      <protection hidden="1"/>
    </xf>
    <xf numFmtId="0" fontId="22" fillId="3" borderId="25" xfId="16" applyFont="1" applyFill="1" applyBorder="1" applyAlignment="1" applyProtection="1">
      <alignment horizontal="center" vertical="center" wrapText="1"/>
      <protection hidden="1"/>
    </xf>
    <xf numFmtId="0" fontId="22" fillId="3" borderId="26" xfId="16" applyFont="1" applyFill="1" applyBorder="1" applyAlignment="1" applyProtection="1">
      <alignment horizontal="center" vertical="center" wrapText="1"/>
      <protection hidden="1"/>
    </xf>
    <xf numFmtId="0" fontId="22" fillId="3" borderId="33" xfId="16" applyFont="1" applyFill="1" applyBorder="1" applyAlignment="1" applyProtection="1">
      <alignment horizontal="right" vertical="top" wrapText="1"/>
      <protection hidden="1"/>
    </xf>
    <xf numFmtId="0" fontId="22" fillId="3" borderId="34" xfId="16" applyFont="1" applyFill="1" applyBorder="1" applyAlignment="1" applyProtection="1">
      <alignment horizontal="right" vertical="top" wrapText="1"/>
      <protection hidden="1"/>
    </xf>
    <xf numFmtId="0" fontId="22" fillId="3" borderId="9" xfId="16" applyFont="1" applyFill="1" applyBorder="1" applyAlignment="1" applyProtection="1">
      <alignment horizontal="right" vertical="top" wrapText="1"/>
      <protection hidden="1"/>
    </xf>
    <xf numFmtId="0" fontId="22" fillId="3" borderId="3" xfId="16" applyFont="1" applyFill="1" applyBorder="1" applyAlignment="1" applyProtection="1">
      <alignment horizontal="right" vertical="top" wrapText="1"/>
      <protection hidden="1"/>
    </xf>
    <xf numFmtId="0" fontId="22" fillId="3" borderId="22" xfId="16" applyFont="1" applyFill="1" applyBorder="1" applyAlignment="1" applyProtection="1">
      <alignment horizontal="right" vertical="top" wrapText="1"/>
      <protection hidden="1"/>
    </xf>
    <xf numFmtId="0" fontId="22" fillId="3" borderId="4" xfId="16" applyFont="1" applyFill="1" applyBorder="1" applyAlignment="1" applyProtection="1">
      <alignment horizontal="right" vertical="top" wrapText="1"/>
      <protection hidden="1"/>
    </xf>
    <xf numFmtId="0" fontId="8" fillId="3" borderId="25" xfId="19" applyFont="1" applyFill="1" applyBorder="1" applyAlignment="1" applyProtection="1">
      <alignment horizontal="center"/>
      <protection hidden="1"/>
    </xf>
    <xf numFmtId="0" fontId="8" fillId="3" borderId="26" xfId="19" applyFont="1" applyFill="1" applyBorder="1" applyAlignment="1" applyProtection="1">
      <alignment horizontal="center"/>
      <protection hidden="1"/>
    </xf>
    <xf numFmtId="0" fontId="8" fillId="3" borderId="24" xfId="19" applyFont="1" applyFill="1" applyBorder="1" applyAlignment="1" applyProtection="1">
      <alignment horizontal="center"/>
      <protection hidden="1"/>
    </xf>
    <xf numFmtId="0" fontId="8" fillId="3" borderId="27" xfId="19" applyFont="1" applyFill="1" applyBorder="1" applyAlignment="1" applyProtection="1">
      <alignment horizontal="center"/>
      <protection hidden="1"/>
    </xf>
    <xf numFmtId="0" fontId="22" fillId="2" borderId="0" xfId="1" applyFont="1" applyFill="1" applyAlignment="1" applyProtection="1">
      <alignment horizontal="center" wrapText="1"/>
      <protection hidden="1"/>
    </xf>
    <xf numFmtId="0" fontId="11" fillId="3" borderId="42" xfId="5" applyFont="1" applyFill="1" applyBorder="1" applyAlignment="1" applyProtection="1">
      <alignment horizontal="center" vertical="center" wrapText="1"/>
      <protection hidden="1"/>
    </xf>
    <xf numFmtId="0" fontId="11" fillId="3" borderId="25" xfId="5" applyFont="1" applyFill="1" applyBorder="1" applyAlignment="1" applyProtection="1">
      <alignment horizontal="center" vertical="center" wrapText="1"/>
      <protection hidden="1"/>
    </xf>
    <xf numFmtId="0" fontId="11" fillId="3" borderId="26" xfId="5" applyFont="1" applyFill="1" applyBorder="1" applyAlignment="1" applyProtection="1">
      <alignment horizontal="center" vertical="center" wrapText="1"/>
      <protection hidden="1"/>
    </xf>
    <xf numFmtId="0" fontId="35" fillId="2" borderId="0" xfId="12" applyFont="1" applyFill="1" applyAlignment="1">
      <alignment horizontal="right"/>
    </xf>
    <xf numFmtId="0" fontId="63" fillId="2" borderId="0" xfId="12" applyFont="1" applyFill="1" applyAlignment="1">
      <alignment horizontal="left"/>
    </xf>
  </cellXfs>
  <cellStyles count="31">
    <cellStyle name="cells" xfId="10"/>
    <cellStyle name="cells 4 2" xfId="15"/>
    <cellStyle name="column field" xfId="5"/>
    <cellStyle name="column field 2" xfId="16"/>
    <cellStyle name="Comma" xfId="6" builtinId="3"/>
    <cellStyle name="Comma 2" xfId="4"/>
    <cellStyle name="Comma 2 2" xfId="26"/>
    <cellStyle name="Comma 2 3" xfId="22"/>
    <cellStyle name="Comma 3" xfId="14"/>
    <cellStyle name="footer" xfId="3"/>
    <cellStyle name="footer 2" xfId="29"/>
    <cellStyle name="Hyperlink" xfId="27" builtinId="8"/>
    <cellStyle name="Hyperlink 2" xfId="13"/>
    <cellStyle name="Hyperlink 6 2" xfId="24"/>
    <cellStyle name="Hyperlink 7" xfId="30"/>
    <cellStyle name="Normal" xfId="0" builtinId="0"/>
    <cellStyle name="Normal 17" xfId="19"/>
    <cellStyle name="Normal 18" xfId="28"/>
    <cellStyle name="Normal 2" xfId="1"/>
    <cellStyle name="Normal 2 8" xfId="18"/>
    <cellStyle name="Normal 3" xfId="12"/>
    <cellStyle name="Normal 3 5" xfId="21"/>
    <cellStyle name="Normal 4 4" xfId="23"/>
    <cellStyle name="Normal_Book5" xfId="9"/>
    <cellStyle name="Percent" xfId="7" builtinId="5"/>
    <cellStyle name="Percent 2" xfId="2"/>
    <cellStyle name="Percent 2 2" xfId="20"/>
    <cellStyle name="rowfield" xfId="11"/>
    <cellStyle name="rowfield 3 2" xfId="17"/>
    <cellStyle name="rowfield 4" xfId="25"/>
    <cellStyle name="Style4" xfId="8"/>
  </cellStyles>
  <dxfs count="1647">
    <dxf>
      <font>
        <b val="0"/>
        <i val="0"/>
        <strike val="0"/>
        <condense val="0"/>
        <extend val="0"/>
        <outline val="0"/>
        <shadow val="0"/>
        <u val="none"/>
        <vertAlign val="baseline"/>
        <sz val="12"/>
        <color theme="1"/>
        <name val="Calibri"/>
        <scheme val="minor"/>
      </font>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fill>
        <patternFill patternType="solid">
          <fgColor rgb="FFD9D9D9"/>
          <bgColor rgb="FFD9D9D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border diagonalUp="0" diagonalDown="0">
        <left style="thin">
          <color theme="1"/>
        </left>
        <right/>
        <top/>
        <bottom/>
        <vertical/>
        <horizontal/>
      </border>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font>
        <strike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bgColor rgb="FFBFBFBF"/>
        </patternFill>
      </fill>
      <protection locked="1" hidden="1"/>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z val="9"/>
        <color auto="1"/>
        <name val="ArialMT"/>
        <scheme val="none"/>
      </font>
      <numFmt numFmtId="3" formatCode="#,##0"/>
      <alignment horizontal="right" vertical="bottom" textRotation="0" wrapText="0" indent="0" justifyLastLine="0" shrinkToFit="0" readingOrder="0"/>
      <protection locked="1" hidden="1"/>
    </dxf>
    <dxf>
      <font>
        <sz val="9"/>
        <color auto="1"/>
        <name val="ArialMT"/>
        <scheme val="none"/>
      </font>
      <numFmt numFmtId="3" formatCode="#,##0"/>
      <alignment horizontal="right" vertical="bottom" textRotation="0" wrapText="0" indent="0" justifyLastLine="0" shrinkToFit="0" readingOrder="0"/>
      <protection locked="1" hidden="1"/>
    </dxf>
    <dxf>
      <numFmt numFmtId="3" formatCode="#,##0"/>
      <alignment horizontal="right"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numFmt numFmtId="3" formatCode="#,##0"/>
      <alignment horizontal="right" vertical="bottom" textRotation="0" wrapText="1" indent="0" justifyLastLine="0" shrinkToFit="0" readingOrder="0"/>
      <protection locked="1" hidden="1"/>
    </dxf>
    <dxf>
      <alignment horizontal="general" vertical="bottom" textRotation="0" wrapText="1" indent="0" justifyLastLine="0" shrinkToFit="0" readingOrder="0"/>
      <protection locked="1" hidden="1"/>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protection locked="1" hidden="1"/>
    </dxf>
    <dxf>
      <font>
        <b/>
        <strike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0" formatCode="General"/>
      <alignment horizontal="right" vertical="bottom" textRotation="0" wrapText="1" indent="0" justifyLastLine="0" shrinkToFit="0" readingOrder="0"/>
      <protection locked="1" hidden="1"/>
    </dxf>
    <dxf>
      <numFmt numFmtId="0" formatCode="General"/>
      <fill>
        <patternFill patternType="solid">
          <fgColor indexed="64"/>
          <bgColor theme="0"/>
        </patternFill>
      </fill>
      <alignment horizontal="right" vertical="bottom" textRotation="0" wrapText="1" indent="0" justifyLastLine="0" shrinkToFit="0" readingOrder="0"/>
      <protection locked="1" hidden="1"/>
    </dxf>
    <dxf>
      <numFmt numFmtId="0" formatCode="General"/>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0" formatCode="General"/>
      <fill>
        <patternFill patternType="solid">
          <fgColor indexed="64"/>
          <bgColor theme="0"/>
        </patternFill>
      </fill>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0" formatCode="General"/>
      <fill>
        <patternFill patternType="solid">
          <fgColor indexed="64"/>
          <bgColor theme="0"/>
        </patternFill>
      </fill>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0" formatCode="General"/>
      <fill>
        <patternFill patternType="solid">
          <fgColor indexed="64"/>
          <bgColor theme="0"/>
        </patternFill>
      </fill>
      <alignment horizontal="right" vertical="bottom" textRotation="0" wrapText="1" indent="0" justifyLastLine="0" shrinkToFit="0" readingOrder="0"/>
      <protection locked="1" hidden="1"/>
    </dxf>
    <dxf>
      <font>
        <b/>
      </font>
      <numFmt numFmtId="0" formatCode="General"/>
      <fill>
        <patternFill patternType="solid">
          <fgColor indexed="64"/>
          <bgColor theme="0"/>
        </patternFill>
      </fill>
      <alignment horizontal="left" vertical="bottom" textRotation="0" wrapText="1" indent="0" justifyLastLine="0" shrinkToFit="0" readingOrder="0"/>
      <protection locked="1" hidden="1"/>
    </dxf>
    <dxf>
      <numFmt numFmtId="0" formatCode="General"/>
      <alignment horizontal="general" vertical="bottom" textRotation="0" wrapText="1" indent="0" justifyLastLine="0" shrinkToFit="0" readingOrder="0"/>
    </dxf>
    <dxf>
      <alignment horizontal="right" vertical="bottom" textRotation="0" wrapText="1" indent="0" justifyLastLine="0" shrinkToFit="0" readingOrder="0"/>
      <protection locked="1" hidden="1"/>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1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rgb="FFD9D9D9"/>
          <bgColor rgb="FFD9D9D9"/>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border diagonalUp="0" diagonalDown="0">
        <left style="thin">
          <color theme="1"/>
        </left>
        <right/>
        <top/>
        <bottom/>
      </border>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border diagonalUp="0" diagonalDown="0">
        <left style="thin">
          <color indexed="64"/>
        </left>
        <right style="thin">
          <color indexed="64"/>
        </right>
        <top/>
        <bottom/>
        <vertical/>
        <horizontal/>
      </border>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font>
        <strike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theme="1"/>
        </left>
        <right style="thin">
          <color theme="1"/>
        </right>
        <top style="thin">
          <color theme="1"/>
        </top>
        <bottom style="thin">
          <color theme="1"/>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font>
      <numFmt numFmtId="13" formatCode="0%"/>
      <alignment horizontal="right" vertical="bottom" textRotation="0" wrapText="1" indent="0" justifyLastLine="0" shrinkToFit="0" readingOrder="0"/>
      <protection locked="1" hidden="1"/>
    </dxf>
    <dxf>
      <font>
        <strike val="0"/>
        <outline val="0"/>
        <shadow val="0"/>
        <u val="none"/>
        <vertAlign val="baseline"/>
        <sz val="10"/>
      </font>
      <numFmt numFmtId="0" formatCode="General"/>
      <fill>
        <patternFill patternType="solid">
          <fgColor indexed="64"/>
          <bgColor theme="0"/>
        </patternFill>
      </fill>
      <alignment horizontal="right" vertical="bottom" textRotation="0" wrapText="1" indent="0" justifyLastLine="0" shrinkToFit="0" readingOrder="0"/>
      <protection locked="1" hidden="1"/>
    </dxf>
    <dxf>
      <font>
        <strike val="0"/>
        <outline val="0"/>
        <shadow val="0"/>
        <u val="none"/>
        <vertAlign val="baseline"/>
        <sz val="10"/>
      </font>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strike val="0"/>
        <outline val="0"/>
        <shadow val="0"/>
        <u val="none"/>
        <vertAlign val="baseline"/>
        <sz val="10"/>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right/>
        <top style="thin">
          <color indexed="64"/>
        </top>
        <bottom style="thin">
          <color indexed="64"/>
        </bottom>
        <vertical/>
      </border>
      <protection locked="1" hidden="1"/>
    </dxf>
    <dxf>
      <numFmt numFmtId="0" formatCode="General"/>
      <alignment horizontal="general" vertical="bottom" textRotation="0" wrapText="1" indent="0" justifyLastLine="0" shrinkToFit="0" readingOrder="0"/>
    </dxf>
    <dxf>
      <border diagonalUp="0" diagonalDown="0">
        <left style="thin">
          <color theme="1"/>
        </left>
        <right style="thin">
          <color theme="1"/>
        </right>
        <top style="thin">
          <color theme="1"/>
        </top>
        <bottom style="thin">
          <color theme="1"/>
        </bottom>
      </border>
    </dxf>
    <dxf>
      <font>
        <strike val="0"/>
        <outline val="0"/>
        <shadow val="0"/>
        <u val="none"/>
        <vertAlign val="baseline"/>
        <sz val="10"/>
      </font>
      <alignment horizontal="general" vertical="bottom" textRotation="0" wrapText="1" indent="0" justifyLastLine="0" shrinkToFit="0" readingOrder="0"/>
      <protection locked="1" hidden="1"/>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1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1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fill>
        <patternFill patternType="solid">
          <fgColor indexed="64"/>
          <bgColor theme="0" tint="-0.249977111117893"/>
        </patternFill>
      </fill>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fill>
        <patternFill patternType="solid">
          <fgColor rgb="FF000000"/>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style="thin">
          <color theme="1"/>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rgb="FFD9D9D9"/>
          <bgColor rgb="FFD9D9D9"/>
        </patternFill>
      </fill>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border diagonalUp="0" diagonalDown="0">
        <left style="thin">
          <color theme="1"/>
        </left>
        <right/>
        <top/>
        <bottom/>
      </border>
      <protection locked="1" hidden="1"/>
    </dxf>
    <dxf>
      <font>
        <strike val="0"/>
        <outline val="0"/>
        <shadow val="0"/>
        <u val="none"/>
        <vertAlign val="baseline"/>
        <sz val="10"/>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strike val="0"/>
        <outline val="0"/>
        <shadow val="0"/>
        <u val="none"/>
        <vertAlign val="baseline"/>
        <sz val="10"/>
        <name val="Arial"/>
        <scheme val="none"/>
      </font>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border diagonalUp="0" diagonalDown="0">
        <left style="thin">
          <color indexed="64"/>
        </left>
        <right style="thin">
          <color indexed="64"/>
        </right>
        <top/>
        <bottom/>
      </border>
      <protection locked="1" hidden="1"/>
    </dxf>
    <dxf>
      <font>
        <strike val="0"/>
        <outline val="0"/>
        <shadow val="0"/>
        <u val="none"/>
        <vertAlign val="baseline"/>
        <name val="Arial"/>
        <scheme val="none"/>
      </font>
      <protection locked="1" hidden="1"/>
    </dxf>
    <dxf>
      <font>
        <strike val="0"/>
        <outline val="0"/>
        <shadow val="0"/>
        <u val="none"/>
        <vertAlign val="baseline"/>
        <name val="Arial"/>
        <scheme val="none"/>
      </font>
      <protection locked="1" hidden="1"/>
    </dxf>
    <dxf>
      <font>
        <strike val="0"/>
        <outline val="0"/>
        <shadow val="0"/>
        <u val="none"/>
        <vertAlign val="baseline"/>
        <name val="Arial"/>
        <scheme val="none"/>
      </font>
      <protection locked="1" hidden="1"/>
    </dxf>
    <dxf>
      <font>
        <strike val="0"/>
        <outline val="0"/>
        <shadow val="0"/>
        <u val="none"/>
        <vertAlign val="baseline"/>
        <name val="Arial"/>
        <scheme val="none"/>
      </font>
      <protection locked="1" hidden="1"/>
    </dxf>
    <dxf>
      <font>
        <strike val="0"/>
        <outline val="0"/>
        <shadow val="0"/>
        <u val="none"/>
        <vertAlign val="baseline"/>
        <name val="Arial"/>
        <scheme val="none"/>
      </font>
      <protection locked="1" hidden="1"/>
    </dxf>
    <dxf>
      <font>
        <strike val="0"/>
        <outline val="0"/>
        <shadow val="0"/>
        <u val="none"/>
        <vertAlign val="baseline"/>
        <name val="Arial"/>
        <scheme val="none"/>
      </font>
      <protection locked="1" hidden="1"/>
    </dxf>
    <dxf>
      <font>
        <strike val="0"/>
        <outline val="0"/>
        <shadow val="0"/>
        <u val="none"/>
        <vertAlign val="baseline"/>
        <name val="Arial"/>
        <scheme val="none"/>
      </font>
      <protection locked="1" hidden="1"/>
    </dxf>
    <dxf>
      <font>
        <strike val="0"/>
        <outline val="0"/>
        <shadow val="0"/>
        <u val="none"/>
        <vertAlign val="baseline"/>
        <name val="Arial"/>
        <scheme val="none"/>
      </font>
      <protection locked="1" hidden="1"/>
    </dxf>
    <dxf>
      <font>
        <strike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right" vertical="bottom" textRotation="0" wrapText="0" indent="0" justifyLastLine="0" shrinkToFit="0" readingOrder="0"/>
      <protection locked="1" hidden="1"/>
    </dxf>
    <dxf>
      <numFmt numFmtId="13" formatCode="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fill>
        <patternFill>
          <bgColor rgb="FFBFBFBF"/>
        </patternFill>
      </fill>
      <protection locked="1" hidden="1"/>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name val="Arial"/>
        <scheme val="none"/>
      </font>
      <numFmt numFmtId="0" formatCode="General"/>
      <fill>
        <patternFill patternType="solid">
          <fgColor indexed="64"/>
          <bgColor theme="0"/>
        </patternFill>
      </fill>
      <alignment horizontal="right" vertical="bottom" textRotation="0" wrapText="1" indent="0" justifyLastLine="0" shrinkToFit="0" readingOrder="0"/>
      <protection locked="1" hidden="1"/>
    </dxf>
    <dxf>
      <font>
        <strike val="0"/>
        <outline val="0"/>
        <shadow val="0"/>
        <u val="none"/>
        <vertAlign val="baseline"/>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strike val="0"/>
        <outline val="0"/>
        <shadow val="0"/>
        <u val="none"/>
        <vertAlign val="baseline"/>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right/>
        <top style="thin">
          <color indexed="64"/>
        </top>
        <bottom style="thin">
          <color indexed="64"/>
        </bottom>
      </border>
      <protection locked="1" hidden="1"/>
    </dxf>
    <dxf>
      <numFmt numFmtId="0" formatCode="General"/>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Arial"/>
        <scheme val="none"/>
      </font>
      <alignment horizontal="general" vertical="bottom" textRotation="0" wrapText="1" indent="0" justifyLastLine="0" shrinkToFit="0" readingOrder="0"/>
      <protection locked="1" hidden="1"/>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1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style="thin">
          <color theme="1"/>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rgb="FFD9D9D9"/>
          <bgColor rgb="FFD9D9D9"/>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border diagonalUp="0" diagonalDown="0">
        <left style="thin">
          <color theme="1"/>
        </left>
        <right/>
        <top/>
        <bottom/>
        <vertical/>
        <horizontal/>
      </border>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font>
        <strike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1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theme="1"/>
        </left>
        <right style="thin">
          <color theme="1"/>
        </right>
        <top style="thin">
          <color theme="1"/>
        </top>
        <bottom style="thin">
          <color theme="1"/>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numFmt numFmtId="0" formatCode="General"/>
      <fill>
        <patternFill patternType="solid">
          <fgColor indexed="64"/>
          <bgColor theme="0"/>
        </patternFill>
      </fill>
      <alignment horizontal="right"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right/>
        <top style="thin">
          <color indexed="64"/>
        </top>
        <bottom style="thin">
          <color indexed="64"/>
        </bottom>
        <vertical/>
      </border>
      <protection locked="1" hidden="1"/>
    </dxf>
    <dxf>
      <numFmt numFmtId="0" formatCode="General"/>
      <alignment horizontal="general" vertical="bottom" textRotation="0" wrapText="1" indent="0" justifyLastLine="0" shrinkToFit="0" readingOrder="0"/>
    </dxf>
    <dxf>
      <border diagonalUp="0" diagonalDown="0">
        <left style="thin">
          <color theme="1"/>
        </left>
        <right style="thin">
          <color theme="1"/>
        </right>
        <top style="thin">
          <color theme="1"/>
        </top>
        <bottom style="thin">
          <color theme="1"/>
        </bottom>
      </border>
    </dxf>
    <dxf>
      <alignment horizontal="general" vertical="bottom" textRotation="0" wrapText="1" indent="0" justifyLastLine="0" shrinkToFit="0" readingOrder="0"/>
      <protection locked="1" hidden="1"/>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style="thin">
          <color theme="1"/>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rgb="FFD9D9D9"/>
          <bgColor rgb="FFD9D9D9"/>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border diagonalUp="0" diagonalDown="0">
        <left style="thin">
          <color theme="1"/>
        </left>
        <right/>
        <top/>
        <bottom/>
        <vertical/>
        <horizontal/>
      </border>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font>
        <strike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font>
      <alignment horizontal="general" vertical="bottom" textRotation="0" wrapText="1" indent="0" justifyLastLine="0" shrinkToFit="0" readingOrder="0"/>
      <protection locked="1" hidden="1"/>
    </dxf>
    <dxf>
      <border diagonalUp="0" diagonalDown="0">
        <left style="thin">
          <color theme="1"/>
        </left>
        <right style="thin">
          <color theme="1"/>
        </right>
        <top style="thin">
          <color theme="1"/>
        </top>
        <bottom style="thin">
          <color theme="1"/>
        </bottom>
      </border>
    </dxf>
    <dxf>
      <font>
        <strike val="0"/>
        <outline val="0"/>
        <shadow val="0"/>
        <u val="none"/>
        <vertAlign val="baseline"/>
        <sz val="10"/>
      </font>
      <alignment horizontal="general" vertical="bottom" textRotation="0" wrapText="1" indent="0" justifyLastLine="0" shrinkToFit="0" readingOrder="0"/>
      <protection locked="1" hidden="1"/>
    </dxf>
    <dxf>
      <font>
        <b/>
        <strike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numFmt numFmtId="0" formatCode="General"/>
      <fill>
        <patternFill patternType="solid">
          <fgColor indexed="64"/>
          <bgColor theme="0"/>
        </patternFill>
      </fill>
      <alignment horizontal="right"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right/>
        <top style="thin">
          <color indexed="64"/>
        </top>
        <bottom style="thin">
          <color indexed="64"/>
        </bottom>
        <vertical/>
      </border>
      <protection locked="1" hidden="1"/>
    </dxf>
    <dxf>
      <numFmt numFmtId="0" formatCode="General"/>
      <alignment horizontal="general" vertical="bottom" textRotation="0" wrapText="1" indent="0" justifyLastLine="0" shrinkToFit="0" readingOrder="0"/>
    </dxf>
    <dxf>
      <border diagonalUp="0" diagonalDown="0">
        <left style="thin">
          <color theme="1"/>
        </left>
        <right style="thin">
          <color theme="1"/>
        </right>
        <top style="thin">
          <color theme="1"/>
        </top>
        <bottom style="thin">
          <color theme="1"/>
        </bottom>
      </border>
    </dxf>
    <dxf>
      <alignment horizontal="general" vertical="bottom" textRotation="0" wrapText="1" indent="0" justifyLastLine="0" shrinkToFit="0" readingOrder="0"/>
      <protection locked="1" hidden="1"/>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1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border diagonalUp="0" diagonalDown="0">
        <left/>
        <right style="thin">
          <color indexed="64"/>
        </right>
        <top/>
        <bottom/>
        <vertical/>
        <horizontal/>
      </border>
      <protection locked="1" hidden="1"/>
    </dxf>
    <dxf>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border diagonalUp="0" diagonalDown="0">
        <left style="thin">
          <color indexed="64"/>
        </left>
        <right/>
        <top/>
        <bottom/>
        <vertical/>
        <horizontal/>
      </border>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border diagonalUp="0" diagonalDown="0" outline="0">
        <left/>
        <right/>
        <top/>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rgb="FFD9D9D9"/>
          <bgColor rgb="FFD9D9D9"/>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border diagonalUp="0" diagonalDown="0">
        <left style="thin">
          <color theme="1"/>
        </left>
        <right/>
        <top/>
        <bottom/>
        <vertical/>
        <horizontal/>
      </border>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font>
        <strike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5" formatCode="_(* #,##0_);_(* \(#,##0\);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5" formatCode="_(* #,##0_);_(* \(#,##0\);_(* &quot;-&quot;??_);_(@_)"/>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5" formatCode="_(* #,##0_);_(* \(#,##0\);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5" formatCode="_(* #,##0_);_(* \(#,##0\);_(* &quot;-&quot;??_);_(@_)"/>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5" formatCode="_(* #,##0_);_(* \(#,##0\);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5" formatCode="_(* #,##0_);_(* \(#,##0\);_(* &quot;-&quot;??_);_(@_)"/>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5" formatCode="_(* #,##0_);_(* \(#,##0\);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5" formatCode="_(* #,##0_);_(* \(#,##0\);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5" formatCode="_(* #,##0_);_(* \(#,##0\);_(* &quot;-&quot;??_);_(@_)"/>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bgColor rgb="FFBFBFBF"/>
        </patternFill>
      </fill>
      <protection locked="1" hidden="1"/>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theme="1"/>
        </left>
        <right style="thin">
          <color theme="1"/>
        </right>
        <top style="thin">
          <color theme="1"/>
        </top>
        <bottom style="thin">
          <color theme="1"/>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numFmt numFmtId="0" formatCode="General"/>
      <fill>
        <patternFill patternType="solid">
          <fgColor indexed="64"/>
          <bgColor theme="0"/>
        </patternFill>
      </fill>
      <alignment horizontal="right"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right/>
        <top style="thin">
          <color indexed="64"/>
        </top>
        <bottom style="thin">
          <color indexed="64"/>
        </bottom>
        <vertical/>
      </border>
      <protection locked="1" hidden="1"/>
    </dxf>
    <dxf>
      <numFmt numFmtId="0" formatCode="General"/>
      <alignment horizontal="general" vertical="bottom" textRotation="0" wrapText="1" indent="0" justifyLastLine="0" shrinkToFit="0" readingOrder="0"/>
    </dxf>
    <dxf>
      <border diagonalUp="0" diagonalDown="0">
        <left style="thin">
          <color theme="1"/>
        </left>
        <right style="thin">
          <color theme="1"/>
        </right>
        <top style="thin">
          <color theme="1"/>
        </top>
        <bottom style="thin">
          <color theme="1"/>
        </bottom>
      </border>
    </dxf>
    <dxf>
      <alignment horizontal="general" vertical="bottom" textRotation="0" wrapText="1" indent="0" justifyLastLine="0" shrinkToFit="0" readingOrder="0"/>
      <protection locked="1" hidden="1"/>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70" formatCode="0.0%"/>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numFmt numFmtId="170"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0"/>
        <color theme="1"/>
        <name val="Arial"/>
        <scheme val="none"/>
      </font>
      <fill>
        <patternFill patternType="none">
          <fgColor indexed="64"/>
          <bgColor indexed="65"/>
        </patternFill>
      </fill>
      <protection locked="1" hidden="1"/>
    </dxf>
    <dxf>
      <font>
        <b/>
        <i val="0"/>
        <strike val="0"/>
        <condense val="0"/>
        <extend val="0"/>
        <outline val="0"/>
        <shadow val="0"/>
        <u val="none"/>
        <vertAlign val="baseline"/>
        <sz val="10"/>
        <color theme="0"/>
        <name val="Arial"/>
        <scheme val="none"/>
      </font>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border>
        <bottom style="thin">
          <color theme="0"/>
        </bottom>
      </border>
    </dxf>
    <dxf>
      <font>
        <strike val="0"/>
        <outline val="0"/>
        <shadow val="0"/>
        <u val="none"/>
        <vertAlign val="baseline"/>
        <color theme="0"/>
      </font>
      <fill>
        <patternFill patternType="solid">
          <fgColor indexed="64"/>
          <bgColor theme="0"/>
        </patternFill>
      </fill>
      <border diagonalUp="0" diagonalDown="0">
        <left/>
        <right/>
        <top/>
        <bottom/>
        <vertical/>
        <horizontal/>
      </border>
      <protection locked="1" hidden="1"/>
    </dxf>
    <dxf>
      <font>
        <b val="0"/>
        <i val="0"/>
        <strike val="0"/>
        <condense val="0"/>
        <extend val="0"/>
        <outline val="0"/>
        <shadow val="0"/>
        <u val="none"/>
        <vertAlign val="baseline"/>
        <sz val="10"/>
        <color auto="1"/>
        <name val="Arial"/>
        <scheme val="none"/>
      </font>
      <numFmt numFmtId="170"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70"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border outline="0">
        <bottom style="thin">
          <color indexed="64"/>
        </bottom>
      </border>
    </dxf>
    <dxf>
      <font>
        <b val="0"/>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70"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70"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70"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70"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70"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top style="thin">
          <color indexed="64"/>
        </top>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border outline="0">
        <bottom style="thin">
          <color indexed="64"/>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border outline="0">
        <bottom style="thin">
          <color indexed="64"/>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70"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70"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70"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70"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70"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70"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protection locked="1" hidden="1"/>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70"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numFmt numFmtId="170" formatCode="0.0%"/>
      <fill>
        <patternFill patternType="none">
          <fgColor indexed="64"/>
          <bgColor indexed="65"/>
        </patternFill>
      </fill>
      <alignment horizontal="general" vertical="bottom" textRotation="0" wrapText="1" indent="0" justifyLastLine="0" shrinkToFit="0" readingOrder="0"/>
      <protection locked="1" hidden="1"/>
    </dxf>
    <dxf>
      <numFmt numFmtId="0" formatCode="General"/>
      <fill>
        <patternFill patternType="none">
          <fgColor indexed="64"/>
          <bgColor indexed="65"/>
        </patternFill>
      </fill>
      <protection locked="1" hidden="1"/>
    </dxf>
    <dxf>
      <numFmt numFmtId="0" formatCode="General"/>
      <fill>
        <patternFill patternType="none">
          <fgColor indexed="64"/>
          <bgColor indexed="65"/>
        </patternFill>
      </fill>
      <protection locked="1" hidden="1"/>
    </dxf>
    <dxf>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protection locked="1" hidden="1"/>
    </dxf>
    <dxf>
      <border outline="0">
        <bottom style="thin">
          <color indexed="64"/>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border diagonalUp="0" diagonalDown="0">
        <left/>
        <right style="thin">
          <color indexed="64"/>
        </right>
        <top/>
        <bottom/>
        <vertical/>
        <horizontal/>
      </border>
      <protection locked="1" hidden="1"/>
    </dxf>
    <dxf>
      <font>
        <b val="0"/>
        <i val="0"/>
        <strike val="0"/>
        <condense val="0"/>
        <extend val="0"/>
        <outline val="0"/>
        <shadow val="0"/>
        <u val="none"/>
        <vertAlign val="baseline"/>
        <sz val="10"/>
        <color theme="1"/>
        <name val="Arial"/>
        <scheme val="none"/>
      </font>
      <numFmt numFmtId="167" formatCode="_-* #,##0_-;\-* #,##0_-;_-* &quot;-&quot;??_-;_-@_-"/>
      <protection locked="1" hidden="1"/>
    </dxf>
    <dxf>
      <font>
        <b val="0"/>
        <i val="0"/>
        <strike val="0"/>
        <condense val="0"/>
        <extend val="0"/>
        <outline val="0"/>
        <shadow val="0"/>
        <u val="none"/>
        <vertAlign val="baseline"/>
        <sz val="10"/>
        <color theme="1"/>
        <name val="Arial"/>
        <scheme val="none"/>
      </font>
      <numFmt numFmtId="167" formatCode="_-* #,##0_-;\-* #,##0_-;_-* &quot;-&quot;??_-;_-@_-"/>
      <protection locked="1" hidden="1"/>
    </dxf>
    <dxf>
      <font>
        <b val="0"/>
        <i val="0"/>
        <strike val="0"/>
        <condense val="0"/>
        <extend val="0"/>
        <outline val="0"/>
        <shadow val="0"/>
        <u val="none"/>
        <vertAlign val="baseline"/>
        <sz val="10"/>
        <color theme="1"/>
        <name val="Arial"/>
        <scheme val="none"/>
      </font>
      <numFmt numFmtId="169" formatCode="#,##0.0"/>
      <protection locked="1" hidden="1"/>
    </dxf>
    <dxf>
      <protection locked="1" hidden="1"/>
    </dxf>
    <dxf>
      <alignment horizontal="general" vertical="bottom" textRotation="0" wrapText="1" indent="0" justifyLastLine="0" shrinkToFit="0" readingOrder="0"/>
      <protection locked="1" hidden="1"/>
    </dxf>
    <dxf>
      <border outline="0">
        <left style="thin">
          <color indexed="64"/>
        </left>
        <top style="thin">
          <color indexed="64"/>
        </top>
        <bottom style="thin">
          <color indexed="64"/>
        </bottom>
      </border>
    </dxf>
    <dxf>
      <font>
        <b val="0"/>
        <i val="0"/>
        <strike val="0"/>
        <condense val="0"/>
        <extend val="0"/>
        <outline val="0"/>
        <shadow val="0"/>
        <u val="none"/>
        <vertAlign val="baseline"/>
        <sz val="10"/>
        <color theme="1"/>
        <name val="Arial"/>
        <scheme val="none"/>
      </font>
      <protection locked="1" hidden="1"/>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rgb="FFD9D9D9"/>
          <bgColor rgb="FFD9D9D9"/>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border diagonalUp="0" diagonalDown="0">
        <left style="thin">
          <color theme="1"/>
        </left>
        <right/>
        <top/>
        <bottom/>
        <vertical/>
        <horizontal/>
      </border>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2" formatCode="0.00"/>
      <fill>
        <patternFill patternType="solid">
          <fgColor indexed="64"/>
          <bgColor theme="0" tint="-0.249977111117893"/>
        </patternFill>
      </fill>
      <alignment horizontal="right" vertical="bottom" textRotation="0" wrapText="0" indent="0" justifyLastLine="0" shrinkToFit="0" readingOrder="0"/>
      <protection locked="1" hidden="1"/>
    </dxf>
    <dxf>
      <protection locked="1" hidden="1"/>
    </dxf>
    <dxf>
      <font>
        <b val="0"/>
        <i val="0"/>
        <strike val="0"/>
        <condense val="0"/>
        <extend val="0"/>
        <outline val="0"/>
        <shadow val="0"/>
        <u val="none"/>
        <vertAlign val="baseline"/>
        <sz val="12"/>
        <color theme="1"/>
        <name val="Calibri"/>
        <scheme val="minor"/>
      </font>
      <numFmt numFmtId="164" formatCode="_(* #,##0.00_);_(* \(#,##0.00\);_(* &quot;-&quot;??_);_(@_)"/>
      <fill>
        <patternFill patternType="solid">
          <fgColor indexed="64"/>
          <bgColor theme="0" tint="-0.249977111117893"/>
        </patternFill>
      </fill>
      <alignment horizontal="right" vertical="bottom" textRotation="0" wrapText="0" indent="0" justifyLastLine="0" shrinkToFit="0" readingOrder="0"/>
      <protection locked="1" hidden="1"/>
    </dxf>
    <dxf>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font>
        <strike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bgColor rgb="FFBFBFBF"/>
        </patternFill>
      </fill>
      <protection locked="1" hidden="1"/>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numFmt numFmtId="0" formatCode="General"/>
      <fill>
        <patternFill patternType="solid">
          <fgColor indexed="64"/>
          <bgColor theme="0"/>
        </patternFill>
      </fill>
      <alignment horizontal="right"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font>
      <numFmt numFmtId="0" formatCode="General"/>
      <fill>
        <patternFill patternType="solid">
          <fgColor indexed="64"/>
          <bgColor theme="0"/>
        </patternFill>
      </fill>
      <alignment horizontal="general" vertical="bottom" textRotation="0" wrapText="1" indent="0" justifyLastLine="0" shrinkToFit="0" readingOrder="0"/>
      <protection locked="1" hidden="1"/>
    </dxf>
    <dxf>
      <numFmt numFmtId="0" formatCode="General"/>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protection locked="1" hidden="1"/>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70"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numFmt numFmtId="170" formatCode="0.0%"/>
      <fill>
        <patternFill patternType="none">
          <fgColor indexed="64"/>
          <bgColor indexed="65"/>
        </patternFill>
      </fill>
      <alignment horizontal="general" vertical="bottom" textRotation="0" wrapText="1" indent="0" justifyLastLine="0" shrinkToFit="0" readingOrder="0"/>
      <protection locked="1" hidden="1"/>
    </dxf>
    <dxf>
      <numFmt numFmtId="0" formatCode="General"/>
      <fill>
        <patternFill patternType="none">
          <fgColor indexed="64"/>
          <bgColor indexed="65"/>
        </patternFill>
      </fill>
      <protection locked="1" hidden="1"/>
    </dxf>
    <dxf>
      <numFmt numFmtId="0" formatCode="General"/>
      <fill>
        <patternFill patternType="none">
          <fgColor indexed="64"/>
          <bgColor indexed="65"/>
        </patternFill>
      </fill>
      <protection locked="1" hidden="1"/>
    </dxf>
    <dxf>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protection locked="1" hidden="1"/>
    </dxf>
    <dxf>
      <border outline="0">
        <bottom style="thin">
          <color indexed="64"/>
        </bottom>
      </border>
    </dxf>
    <dxf>
      <font>
        <b/>
        <i val="0"/>
        <strike val="0"/>
        <condense val="0"/>
        <extend val="0"/>
        <outline val="0"/>
        <shadow val="0"/>
        <u val="none"/>
        <vertAlign val="baseline"/>
        <sz val="10"/>
        <color theme="0"/>
        <name val="Arial"/>
        <scheme val="none"/>
      </font>
      <fill>
        <patternFill patternType="solid">
          <fgColor indexed="64"/>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70"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70"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70"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70"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70"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70" formatCode="0.0%"/>
      <fill>
        <patternFill patternType="none">
          <fgColor indexed="64"/>
          <bgColor indexed="65"/>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protection locked="1" hidden="1"/>
    </dxf>
    <dxf>
      <font>
        <b/>
        <i val="0"/>
        <strike val="0"/>
        <condense val="0"/>
        <extend val="0"/>
        <outline val="0"/>
        <shadow val="0"/>
        <u val="none"/>
        <vertAlign val="baseline"/>
        <sz val="10"/>
        <color theme="0"/>
        <name val="Arial"/>
        <scheme val="none"/>
      </font>
      <fill>
        <patternFill patternType="solid">
          <fgColor indexed="64"/>
          <bgColor theme="0" tint="-0.249977111117893"/>
        </patternFill>
      </fill>
      <alignment horizontal="right" vertical="bottom" textRotation="0" wrapText="1" indent="0" justifyLastLine="0" shrinkToFit="0" readingOrder="0"/>
      <protection locked="1" hidden="1"/>
    </dxf>
    <dxf>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border outline="0">
        <bottom style="thin">
          <color indexed="64"/>
        </bottom>
      </border>
    </dxf>
    <dxf>
      <font>
        <b/>
        <i val="0"/>
        <strike val="0"/>
        <condense val="0"/>
        <extend val="0"/>
        <outline val="0"/>
        <shadow val="0"/>
        <u val="none"/>
        <vertAlign val="baseline"/>
        <sz val="10"/>
        <color theme="0"/>
        <name val="Arial"/>
        <scheme val="none"/>
      </font>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70"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70"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70"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70"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70"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border outline="0">
        <bottom style="thin">
          <color indexed="64"/>
        </bottom>
      </border>
    </dxf>
    <dxf>
      <font>
        <b/>
        <i val="0"/>
        <strike val="0"/>
        <condense val="0"/>
        <extend val="0"/>
        <outline val="0"/>
        <shadow val="0"/>
        <u val="none"/>
        <vertAlign val="baseline"/>
        <sz val="10"/>
        <color theme="0"/>
        <name val="Arial"/>
        <scheme val="none"/>
      </font>
      <fill>
        <patternFill patternType="solid">
          <fgColor indexed="64"/>
          <bgColor theme="0" tint="-0.249977111117893"/>
        </patternFill>
      </fill>
      <alignment horizontal="right" vertical="bottom" textRotation="0" wrapText="1" indent="0" justifyLastLine="0" shrinkToFit="0" readingOrder="0"/>
      <protection locked="1" hidden="1"/>
    </dxf>
    <dxf>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border outline="0">
        <bottom style="thin">
          <color indexed="64"/>
        </bottom>
      </border>
    </dxf>
    <dxf>
      <font>
        <b/>
        <i val="0"/>
        <strike val="0"/>
        <condense val="0"/>
        <extend val="0"/>
        <outline val="0"/>
        <shadow val="0"/>
        <u val="none"/>
        <vertAlign val="baseline"/>
        <sz val="10"/>
        <color theme="0"/>
        <name val="Arial"/>
        <scheme val="none"/>
      </font>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70" formatCode="0.0%"/>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numFmt numFmtId="170" formatCode="0.0%"/>
      <fill>
        <patternFill patternType="none">
          <fgColor indexed="64"/>
          <bgColor indexed="65"/>
        </patternFill>
      </fill>
      <protection locked="1" hidden="1"/>
    </dxf>
    <dxf>
      <numFmt numFmtId="0" formatCode="General"/>
      <fill>
        <patternFill patternType="none">
          <fgColor indexed="64"/>
          <bgColor indexed="65"/>
        </patternFill>
      </fill>
      <protection locked="1" hidden="1"/>
    </dxf>
    <dxf>
      <numFmt numFmtId="0" formatCode="General"/>
      <fill>
        <patternFill patternType="none">
          <fgColor indexed="64"/>
          <bgColor indexed="65"/>
        </patternFill>
      </fill>
      <protection locked="1" hidden="1"/>
    </dxf>
    <dxf>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ill>
        <patternFill patternType="none">
          <fgColor indexed="64"/>
          <bgColor indexed="65"/>
        </patternFill>
      </fill>
      <protection locked="1" hidden="1"/>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protection locked="1" hidden="1"/>
    </dxf>
    <dxf>
      <font>
        <b val="0"/>
        <i val="0"/>
        <strike val="0"/>
        <condense val="0"/>
        <extend val="0"/>
        <outline val="0"/>
        <shadow val="0"/>
        <u val="none"/>
        <vertAlign val="baseline"/>
        <sz val="10"/>
        <color theme="1"/>
        <name val="Arial"/>
        <scheme val="none"/>
      </font>
      <numFmt numFmtId="167" formatCode="_-* #,##0_-;\-* #,##0_-;_-* &quot;-&quot;??_-;_-@_-"/>
      <protection locked="1" hidden="1"/>
    </dxf>
    <dxf>
      <font>
        <b val="0"/>
        <i val="0"/>
        <strike val="0"/>
        <condense val="0"/>
        <extend val="0"/>
        <outline val="0"/>
        <shadow val="0"/>
        <u val="none"/>
        <vertAlign val="baseline"/>
        <sz val="10"/>
        <color theme="1"/>
        <name val="Arial"/>
        <scheme val="none"/>
      </font>
      <numFmt numFmtId="167" formatCode="_-* #,##0_-;\-* #,##0_-;_-* &quot;-&quot;??_-;_-@_-"/>
      <protection locked="1" hidden="1"/>
    </dxf>
    <dxf>
      <font>
        <b val="0"/>
        <i val="0"/>
        <strike val="0"/>
        <condense val="0"/>
        <extend val="0"/>
        <outline val="0"/>
        <shadow val="0"/>
        <u val="none"/>
        <vertAlign val="baseline"/>
        <sz val="10"/>
        <color theme="1"/>
        <name val="Arial"/>
        <scheme val="none"/>
      </font>
      <numFmt numFmtId="169" formatCode="#,##0.0"/>
      <protection locked="1" hidden="1"/>
    </dxf>
    <dxf>
      <font>
        <b val="0"/>
        <i val="0"/>
        <strike val="0"/>
        <condense val="0"/>
        <extend val="0"/>
        <outline val="0"/>
        <shadow val="0"/>
        <u val="none"/>
        <vertAlign val="baseline"/>
        <sz val="10"/>
        <color theme="1"/>
        <name val="Arial"/>
        <scheme val="none"/>
      </font>
      <numFmt numFmtId="3" formatCode="#,##0"/>
      <protection locked="1" hidden="1"/>
    </dxf>
    <dxf>
      <alignment horizontal="general" vertical="bottom"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protection locked="1" hidden="1"/>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rgb="FFD9D9D9"/>
          <bgColor rgb="FFD9D9D9"/>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border diagonalUp="0" diagonalDown="0">
        <left style="thin">
          <color theme="1"/>
        </left>
        <right/>
        <top/>
        <bottom/>
        <vertical/>
        <horizontal/>
      </border>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diagonalUp="0" diagonalDown="0">
        <left style="thin">
          <color theme="1"/>
        </left>
        <right style="thin">
          <color theme="1"/>
        </right>
        <top style="thin">
          <color theme="1"/>
        </top>
        <bottom style="thin">
          <color theme="1"/>
        </bottom>
      </border>
    </dxf>
    <dxf>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theme="1"/>
        </left>
        <right style="thin">
          <color theme="1"/>
        </right>
        <top style="thin">
          <color theme="1"/>
        </top>
        <bottom style="thin">
          <color theme="1"/>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13" formatCode="0%"/>
      <alignment horizontal="right" vertical="bottom" textRotation="0" wrapText="1" indent="0" justifyLastLine="0" shrinkToFit="0" readingOrder="0"/>
      <border diagonalUp="0" diagonalDown="0">
        <left/>
        <right style="thin">
          <color indexed="64"/>
        </right>
        <vertical/>
      </border>
      <protection locked="1" hidden="1"/>
    </dxf>
    <dxf>
      <numFmt numFmtId="0" formatCode="General"/>
      <fill>
        <patternFill patternType="solid">
          <fgColor indexed="64"/>
          <bgColor theme="0"/>
        </patternFill>
      </fill>
      <alignment horizontal="right"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border>
      <protection locked="1" hidden="1"/>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protection locked="1" hidden="1"/>
    </dxf>
    <dxf>
      <border>
        <bottom style="thin">
          <color indexed="64"/>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border diagonalUp="0" diagonalDown="0">
        <left/>
        <right/>
        <top/>
        <bottom/>
        <vertical/>
        <horizontal/>
      </border>
      <protection locked="1" hidden="1"/>
    </dxf>
    <dxf>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rgb="FFD9D9D9"/>
          <bgColor rgb="FFD9D9D9"/>
        </patternFill>
      </fill>
      <alignment horizontal="right" vertical="bottom" textRotation="0" wrapText="1" indent="0" justifyLastLine="0" shrinkToFit="0" readingOrder="0"/>
      <border diagonalUp="0" diagonalDown="0">
        <left/>
        <right style="thin">
          <color theme="1"/>
        </right>
        <top/>
        <bottom/>
        <vertical/>
        <horizontal/>
      </border>
      <protection locked="1" hidden="1"/>
    </dxf>
    <dxf>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border diagonalUp="0" diagonalDown="0">
        <left style="thin">
          <color theme="1"/>
        </left>
        <right/>
        <top/>
        <bottom/>
        <vertical/>
        <horizontal/>
      </border>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alignment horizontal="right" vertical="bottom" textRotation="0" wrapText="0" indent="0" justifyLastLine="0" shrinkToFit="0" readingOrder="0"/>
      <protection locked="1" hidden="1"/>
    </dxf>
    <dxf>
      <border outline="0">
        <top style="thin">
          <color rgb="FF000000"/>
        </top>
      </border>
    </dxf>
    <dxf>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numFmt numFmtId="0" formatCode="General"/>
      <fill>
        <patternFill patternType="solid">
          <fgColor indexed="64"/>
          <bgColor theme="0"/>
        </patternFill>
      </fill>
      <alignment horizontal="right"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font>
      <numFmt numFmtId="0" formatCode="General"/>
      <fill>
        <patternFill patternType="solid">
          <fgColor indexed="64"/>
          <bgColor theme="0"/>
        </patternFill>
      </fill>
      <alignment horizontal="general" vertical="bottom" textRotation="0" wrapText="1" indent="0" justifyLastLine="0" shrinkToFit="0" readingOrder="0"/>
      <protection locked="1" hidden="1"/>
    </dxf>
    <dxf>
      <numFmt numFmtId="0" formatCode="General"/>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protection locked="1" hidden="1"/>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theme="0"/>
        </top>
        <bottom style="thin">
          <color indexed="64"/>
        </bottom>
      </border>
    </dxf>
    <dxf>
      <fill>
        <patternFill patternType="none">
          <fgColor indexed="64"/>
          <bgColor indexed="65"/>
        </patternFill>
      </fill>
      <protection locked="1" hidden="1"/>
    </dxf>
    <dxf>
      <border outline="0">
        <bottom style="thin">
          <color indexed="64"/>
        </bottom>
      </border>
    </dxf>
    <dxf>
      <font>
        <b val="0"/>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none">
          <fgColor indexed="64"/>
          <bgColor indexed="65"/>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numFmt numFmtId="13" formatCode="0%"/>
      <fill>
        <patternFill patternType="none">
          <fgColor indexed="64"/>
          <bgColor indexed="65"/>
        </patternFill>
      </fill>
      <alignment horizontal="right" vertical="bottom" textRotation="0" wrapText="1" indent="0" justifyLastLine="0" shrinkToFit="0" readingOrder="0"/>
      <border diagonalUp="0" diagonalDown="0">
        <left/>
        <right style="thin">
          <color indexed="64"/>
        </right>
        <top/>
        <bottom/>
        <vertical/>
        <horizontal/>
      </border>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protection locked="1" hidden="1"/>
    </dxf>
    <dxf>
      <font>
        <b/>
        <i val="0"/>
        <strike val="0"/>
        <condense val="0"/>
        <extend val="0"/>
        <outline val="0"/>
        <shadow val="0"/>
        <u val="none"/>
        <vertAlign val="baseline"/>
        <sz val="10"/>
        <color theme="0"/>
        <name val="Arial"/>
        <scheme val="none"/>
      </font>
      <fill>
        <patternFill patternType="solid">
          <fgColor indexed="64"/>
          <bgColor theme="0" tint="-0.249977111117893"/>
        </patternFill>
      </fill>
      <alignment horizontal="right" vertical="bottom" textRotation="0" wrapText="1" indent="0" justifyLastLine="0" shrinkToFit="0" readingOrder="0"/>
      <protection locked="1" hidden="1"/>
    </dxf>
    <dxf>
      <numFmt numFmtId="0" formatCode="General"/>
      <fill>
        <patternFill patternType="none">
          <fgColor indexed="64"/>
          <bgColor indexed="65"/>
        </patternFill>
      </fill>
      <protection locked="1" hidden="1"/>
    </dxf>
    <dxf>
      <numFmt numFmtId="0" formatCode="General"/>
      <fill>
        <patternFill patternType="none">
          <fgColor indexed="64"/>
          <bgColor indexed="65"/>
        </patternFill>
      </fill>
      <protection locked="1" hidden="1"/>
    </dxf>
    <dxf>
      <numFmt numFmtId="0" formatCode="General"/>
      <fill>
        <patternFill patternType="none">
          <fgColor indexed="64"/>
          <bgColor indexed="65"/>
        </patternFill>
      </fill>
      <protection locked="1" hidden="1"/>
    </dxf>
    <dxf>
      <numFmt numFmtId="0" formatCode="General"/>
      <fill>
        <patternFill patternType="none">
          <fgColor indexed="64"/>
          <bgColor indexed="65"/>
        </patternFill>
      </fill>
      <protection locked="1" hidden="1"/>
    </dxf>
    <dxf>
      <numFmt numFmtId="0" formatCode="General"/>
      <fill>
        <patternFill patternType="none">
          <fgColor indexed="64"/>
          <bgColor indexed="65"/>
        </patternFill>
      </fill>
      <protection locked="1" hidden="1"/>
    </dxf>
    <dxf>
      <numFmt numFmtId="0" formatCode="General"/>
      <fill>
        <patternFill patternType="none">
          <fgColor indexed="64"/>
          <bgColor indexed="65"/>
        </patternFill>
      </fill>
      <border diagonalUp="0" diagonalDown="0">
        <left/>
        <right style="thin">
          <color indexed="64"/>
        </right>
        <top/>
        <bottom/>
        <vertical/>
        <horizontal/>
      </border>
      <protection locked="1" hidden="1"/>
    </dxf>
    <dxf>
      <numFmt numFmtId="0" formatCode="General"/>
      <fill>
        <patternFill patternType="none">
          <fgColor indexed="64"/>
          <bgColor indexed="65"/>
        </patternFill>
      </fill>
      <protection locked="1" hidden="1"/>
    </dxf>
    <dxf>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border>
    </dxf>
    <dxf>
      <fill>
        <patternFill patternType="none">
          <fgColor indexed="64"/>
          <bgColor indexed="65"/>
        </patternFill>
      </fill>
      <protection locked="1" hidden="1"/>
    </dxf>
    <dxf>
      <border outline="0">
        <bottom style="thin">
          <color indexed="64"/>
        </bottom>
      </border>
    </dxf>
    <dxf>
      <font>
        <b/>
        <i val="0"/>
        <strike val="0"/>
        <condense val="0"/>
        <extend val="0"/>
        <outline val="0"/>
        <shadow val="0"/>
        <u val="none"/>
        <vertAlign val="baseline"/>
        <sz val="10"/>
        <color theme="0"/>
        <name val="Arial"/>
        <scheme val="none"/>
      </font>
      <fill>
        <patternFill patternType="solid">
          <fgColor indexed="64"/>
          <bgColor theme="0" tint="-0.249977111117893"/>
        </patternFill>
      </fill>
      <alignment horizontal="right" vertical="bottom" textRotation="0" wrapText="1" indent="0" justifyLastLine="0" shrinkToFit="0" readingOrder="0"/>
      <protection locked="1" hidden="1"/>
    </dxf>
    <dxf>
      <numFmt numFmtId="13" formatCode="0%"/>
      <fill>
        <patternFill patternType="none">
          <fgColor indexed="64"/>
          <bgColor indexed="65"/>
        </patternFill>
      </fill>
      <alignment horizontal="right" vertical="bottom" textRotation="0" wrapText="1" indent="0" justifyLastLine="0" shrinkToFit="0" readingOrder="0"/>
      <protection locked="1" hidden="1"/>
    </dxf>
    <dxf>
      <numFmt numFmtId="3" formatCode="#,##0"/>
      <fill>
        <patternFill patternType="none">
          <fgColor indexed="64"/>
          <bgColor indexed="65"/>
        </patternFill>
      </fill>
      <protection locked="1" hidden="1"/>
    </dxf>
    <dxf>
      <numFmt numFmtId="13" formatCode="0%"/>
      <fill>
        <patternFill patternType="none">
          <fgColor indexed="64"/>
          <bgColor indexed="65"/>
        </patternFill>
      </fill>
      <alignment horizontal="right" vertical="bottom" textRotation="0" wrapText="1" indent="0" justifyLastLine="0" shrinkToFit="0" readingOrder="0"/>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ill>
        <patternFill patternType="none">
          <fgColor indexed="64"/>
          <bgColor indexed="65"/>
        </patternFill>
      </fill>
      <protection locked="1" hidden="1"/>
    </dxf>
    <dxf>
      <border outline="0">
        <bottom style="thin">
          <color indexed="64"/>
        </bottom>
      </border>
    </dxf>
    <dxf>
      <font>
        <b/>
        <i val="0"/>
        <strike val="0"/>
        <condense val="0"/>
        <extend val="0"/>
        <outline val="0"/>
        <shadow val="0"/>
        <u val="none"/>
        <vertAlign val="baseline"/>
        <sz val="10"/>
        <color theme="0"/>
        <name val="Arial"/>
        <scheme val="none"/>
      </font>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3" formatCode="#,##0"/>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protection locked="1" hidden="1"/>
    </dxf>
    <dxf>
      <font>
        <b val="0"/>
        <i val="0"/>
        <strike val="0"/>
        <condense val="0"/>
        <extend val="0"/>
        <outline val="0"/>
        <shadow val="0"/>
        <u val="none"/>
        <vertAlign val="baseline"/>
        <sz val="12"/>
        <color theme="1"/>
        <name val="Calibri"/>
        <scheme val="minor"/>
      </font>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protection locked="1" hidden="1"/>
    </dxf>
    <dxf>
      <alignment horizontal="general" vertical="bottom" textRotation="0" wrapText="1" indent="0" justifyLastLine="0" shrinkToFit="0" readingOrder="0"/>
      <protection locked="1" hidden="1"/>
    </dxf>
    <dxf>
      <border outline="0">
        <left style="thin">
          <color indexed="64"/>
        </left>
        <right style="thin">
          <color indexed="64"/>
        </right>
        <top style="thin">
          <color indexed="64"/>
        </top>
        <bottom style="thin">
          <color indexed="64"/>
        </bottom>
      </border>
    </dxf>
    <dxf>
      <protection locked="1" hidden="1"/>
    </dxf>
    <dxf>
      <border outline="0">
        <bottom style="thin">
          <color indexed="64"/>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0" formatCode="General"/>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rgb="FFD9D9D9"/>
          <bgColor rgb="FFD9D9D9"/>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border diagonalUp="0" diagonalDown="0">
        <left style="thin">
          <color theme="1"/>
        </left>
        <right/>
        <top/>
        <bottom/>
        <vertical/>
        <horizontal/>
      </border>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font>
        <strike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font>
      <numFmt numFmtId="13" formatCode="0%"/>
      <alignment horizontal="right" vertical="bottom" textRotation="0" wrapText="1" indent="0" justifyLastLine="0" shrinkToFit="0" readingOrder="0"/>
      <protection locked="1" hidden="1"/>
    </dxf>
    <dxf>
      <font>
        <strike val="0"/>
        <outline val="0"/>
        <shadow val="0"/>
        <u val="none"/>
        <vertAlign val="baseline"/>
        <sz val="10"/>
      </font>
      <numFmt numFmtId="3" formatCode="#,##0"/>
      <alignment horizontal="right" vertical="bottom" textRotation="0" wrapText="1" indent="0" justifyLastLine="0" shrinkToFit="0" readingOrder="0"/>
      <protection locked="1" hidden="1"/>
    </dxf>
    <dxf>
      <font>
        <strike val="0"/>
        <outline val="0"/>
        <shadow val="0"/>
        <u val="none"/>
        <vertAlign val="baseline"/>
        <sz val="10"/>
        <color auto="1"/>
        <name val="ArialMT"/>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font>
      <numFmt numFmtId="13" formatCode="0%"/>
      <alignment horizontal="right" vertical="bottom" textRotation="0" wrapText="1" indent="0" justifyLastLine="0" shrinkToFit="0" readingOrder="0"/>
      <protection locked="1" hidden="1"/>
    </dxf>
    <dxf>
      <font>
        <strike val="0"/>
        <outline val="0"/>
        <shadow val="0"/>
        <u val="none"/>
        <vertAlign val="baseline"/>
        <sz val="10"/>
      </font>
      <numFmt numFmtId="3" formatCode="#,##0"/>
      <alignment horizontal="general" vertical="bottom" textRotation="0" wrapText="1" indent="0" justifyLastLine="0" shrinkToFit="0" readingOrder="0"/>
      <protection locked="1" hidden="1"/>
    </dxf>
    <dxf>
      <font>
        <strike val="0"/>
        <outline val="0"/>
        <shadow val="0"/>
        <u val="none"/>
        <vertAlign val="baseline"/>
        <sz val="10"/>
      </font>
      <alignment horizontal="general" vertical="bottom" textRotation="0" wrapText="1" indent="0" justifyLastLine="0" shrinkToFit="0" readingOrder="0"/>
      <protection locked="1" hidden="1"/>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font>
      <alignment horizontal="general" vertical="bottom" textRotation="0" wrapText="1" indent="0" justifyLastLine="0" shrinkToFit="0" readingOrder="0"/>
      <protection locked="1" hidden="1"/>
    </dxf>
    <dxf>
      <font>
        <b/>
        <strike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numFmt numFmtId="0" formatCode="General"/>
      <fill>
        <patternFill patternType="solid">
          <fgColor indexed="64"/>
          <bgColor theme="0"/>
        </patternFill>
      </fill>
      <alignment horizontal="right" vertical="bottom" textRotation="0" wrapText="1" indent="0" justifyLastLine="0" shrinkToFit="0" readingOrder="0"/>
      <protection locked="1" hidden="1"/>
    </dxf>
    <dxf>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font>
      <numFmt numFmtId="0" formatCode="General"/>
      <fill>
        <patternFill patternType="solid">
          <fgColor indexed="64"/>
          <bgColor theme="0"/>
        </patternFill>
      </fill>
      <alignment horizontal="general" vertical="bottom" textRotation="0" wrapText="1" indent="0" justifyLastLine="0" shrinkToFit="0" readingOrder="0"/>
      <protection locked="1" hidden="1"/>
    </dxf>
    <dxf>
      <numFmt numFmtId="0" formatCode="General"/>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protection locked="1" hidden="1"/>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rgb="FFD9D9D9"/>
          <bgColor rgb="FFD9D9D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border diagonalUp="0" diagonalDown="0">
        <left style="thin">
          <color theme="1"/>
        </left>
        <right/>
        <top/>
        <bottom/>
        <vertical/>
        <horizontal/>
      </border>
      <protection locked="1" hidden="1"/>
    </dxf>
    <dxf>
      <font>
        <b val="0"/>
        <i val="0"/>
        <strike val="0"/>
        <condense val="0"/>
        <extend val="0"/>
        <outline val="0"/>
        <shadow val="0"/>
        <u val="none"/>
        <vertAlign val="baseline"/>
        <sz val="12"/>
        <color theme="1"/>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fill>
        <patternFill>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center" textRotation="0" wrapText="1" indent="0" justifyLastLine="0" shrinkToFit="0" readingOrder="0"/>
      <protection locked="1" hidden="1"/>
    </dxf>
    <dxf>
      <font>
        <strike val="0"/>
        <outline val="0"/>
        <shadow val="0"/>
        <u val="none"/>
        <vertAlign val="baseline"/>
        <sz val="10"/>
        <name val="Arial"/>
        <scheme val="none"/>
      </font>
      <numFmt numFmtId="0" formatCode="General"/>
      <fill>
        <patternFill patternType="solid">
          <fgColor indexed="64"/>
          <bgColor theme="0"/>
        </patternFill>
      </fill>
      <alignment horizontal="right" vertical="center"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center"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strike val="0"/>
        <outline val="0"/>
        <shadow val="0"/>
        <u val="none"/>
        <vertAlign val="baseline"/>
        <sz val="10"/>
        <name val="Arial"/>
        <scheme val="none"/>
      </font>
      <numFmt numFmtId="0" formatCode="General"/>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style="thin">
          <color indexed="64"/>
        </bottom>
        <vertical/>
      </border>
      <protection locked="1" hidden="1"/>
    </dxf>
    <dxf>
      <numFmt numFmtId="0" formatCode="General"/>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alignment horizontal="right" vertical="center" textRotation="0" wrapText="1" indent="0" justifyLastLine="0" shrinkToFit="0" readingOrder="0"/>
      <protection locked="1" hidden="1"/>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border diagonalUp="0" diagonalDown="0">
        <left/>
        <right style="thin">
          <color indexed="64"/>
        </right>
        <top/>
        <bottom/>
      </border>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outline="0">
        <top style="thin">
          <color rgb="FF000000"/>
        </top>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rgb="FFD9D9D9"/>
          <bgColor rgb="FFD9D9D9"/>
        </patternFill>
      </fill>
      <alignment horizontal="right" vertical="bottom" textRotation="0" wrapText="1" indent="0" justifyLastLine="0" shrinkToFit="0" readingOrder="0"/>
      <border diagonalUp="0" diagonalDown="0">
        <left/>
        <right style="thin">
          <color theme="1"/>
        </right>
        <top/>
        <bottom/>
      </border>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border diagonalUp="0" diagonalDown="0">
        <left style="thin">
          <color theme="1"/>
        </left>
        <right/>
        <top/>
        <bottom/>
      </border>
      <protection locked="1" hidden="1"/>
    </dxf>
    <dxf>
      <font>
        <b val="0"/>
        <i val="0"/>
        <strike val="0"/>
        <condense val="0"/>
        <extend val="0"/>
        <outline val="0"/>
        <shadow val="0"/>
        <u val="none"/>
        <vertAlign val="baseline"/>
        <sz val="12"/>
        <color theme="1"/>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fill>
        <patternFill patternType="solid">
          <fgColor rgb="FF000000"/>
          <bgColor rgb="FFBFBFBF"/>
        </patternFill>
      </fill>
      <alignment horizontal="right" vertical="bottom" textRotation="0" wrapText="0" indent="0" justifyLastLine="0" shrinkToFit="0" readingOrder="0"/>
      <protection locked="1" hidden="1"/>
    </dxf>
    <dxf>
      <border outline="0">
        <top style="thin">
          <color rgb="FF000000"/>
        </top>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name val="Arial"/>
        <scheme val="none"/>
      </font>
      <protection locked="1" hidden="1"/>
    </dxf>
    <dxf>
      <font>
        <strike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fill>
        <patternFill>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theme="1"/>
        </left>
        <right style="thin">
          <color theme="1"/>
        </right>
        <top style="thin">
          <color theme="1"/>
        </top>
        <bottom style="thin">
          <color theme="1"/>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name val="Arial"/>
        <scheme val="none"/>
      </font>
      <numFmt numFmtId="0" formatCode="General"/>
      <fill>
        <patternFill patternType="solid">
          <fgColor indexed="64"/>
          <bgColor theme="0"/>
        </patternFill>
      </fill>
      <alignment horizontal="right" vertical="bottom" textRotation="0" wrapText="1" indent="0" justifyLastLine="0" shrinkToFit="0" readingOrder="0"/>
      <protection locked="1" hidden="1"/>
    </dxf>
    <dxf>
      <font>
        <strike val="0"/>
        <outline val="0"/>
        <shadow val="0"/>
        <u val="none"/>
        <vertAlign val="baseline"/>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strike val="0"/>
        <outline val="0"/>
        <shadow val="0"/>
        <u val="none"/>
        <vertAlign val="baseline"/>
        <name val="Arial"/>
        <scheme val="none"/>
      </font>
      <numFmt numFmtId="0" formatCode="General"/>
      <fill>
        <patternFill patternType="solid">
          <fgColor indexed="64"/>
          <bgColor theme="0"/>
        </patternFill>
      </fill>
      <alignment horizontal="general" vertical="bottom" textRotation="0" wrapText="1" indent="0" justifyLastLine="0" shrinkToFit="0" readingOrder="0"/>
      <protection locked="1" hidden="1"/>
    </dxf>
    <dxf>
      <numFmt numFmtId="0" formatCode="General"/>
      <alignment horizontal="general" vertical="bottom" textRotation="0" wrapText="1" indent="0" justifyLastLine="0" shrinkToFit="0" readingOrder="0"/>
    </dxf>
    <dxf>
      <border diagonalUp="0" diagonalDown="0">
        <left style="thin">
          <color theme="1"/>
        </left>
        <right style="thin">
          <color theme="1"/>
        </right>
        <top style="thin">
          <color theme="1"/>
        </top>
        <bottom style="thin">
          <color theme="1"/>
        </bottom>
      </border>
    </dxf>
    <dxf>
      <font>
        <strike val="0"/>
        <outline val="0"/>
        <shadow val="0"/>
        <u val="none"/>
        <vertAlign val="baseline"/>
        <name val="Arial"/>
        <scheme val="none"/>
      </font>
      <alignment horizontal="general" vertical="bottom" textRotation="0" wrapText="1" indent="0" justifyLastLine="0" shrinkToFit="0" readingOrder="0"/>
      <protection locked="1" hidden="1"/>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fill>
        <patternFill patternType="solid">
          <fgColor indexed="64"/>
          <bgColor theme="0" tint="-0.249977111117893"/>
        </patternFill>
      </fill>
      <alignment horizontal="general"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3" formatCode="#,##0"/>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indexed="64"/>
          <bgColor theme="0" tint="-0.249977111117893"/>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249977111117893"/>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fill>
        <patternFill>
          <bgColor rgb="FFBFBFBF"/>
        </patternFill>
      </fill>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tint="-0.249977111117893"/>
        </patternFill>
      </fill>
      <alignment horizontal="general" vertical="bottom" textRotation="0" wrapText="0" indent="0" justifyLastLine="0" shrinkToFit="0" readingOrder="0"/>
      <border diagonalUp="0" diagonalDown="0">
        <left/>
        <right style="thin">
          <color theme="1"/>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rgb="FFD9D9D9"/>
          <bgColor rgb="FFD9D9D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alignment horizontal="right" vertical="bottom" textRotation="0" wrapText="0" indent="0" justifyLastLine="0" shrinkToFit="0" readingOrder="0"/>
      <border diagonalUp="0" diagonalDown="0">
        <left style="thin">
          <color theme="1"/>
        </left>
        <right/>
        <top style="thin">
          <color indexed="64"/>
        </top>
        <bottom style="thin">
          <color theme="1"/>
        </bottom>
      </border>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border diagonalUp="0" diagonalDown="0">
        <left style="thin">
          <color theme="1"/>
        </left>
        <right/>
        <top/>
        <bottom/>
      </border>
      <protection locked="1" hidden="1"/>
    </dxf>
    <dxf>
      <font>
        <b val="0"/>
        <i val="0"/>
        <strike val="0"/>
        <condense val="0"/>
        <extend val="0"/>
        <outline val="0"/>
        <shadow val="0"/>
        <u val="none"/>
        <vertAlign val="baseline"/>
        <sz val="12"/>
        <color theme="1"/>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2"/>
        <color theme="1"/>
        <name val="Arial"/>
        <scheme val="none"/>
      </font>
      <numFmt numFmtId="0" formatCode="General"/>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strike val="0"/>
        <outline val="0"/>
        <shadow val="0"/>
        <u val="none"/>
        <vertAlign val="baseline"/>
        <name val="Arial"/>
        <scheme val="none"/>
      </font>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protection locked="1" hidden="1"/>
    </dxf>
    <dxf>
      <font>
        <strike val="0"/>
        <outline val="0"/>
        <shadow val="0"/>
        <u val="none"/>
        <vertAlign val="baseline"/>
        <sz val="10"/>
        <color auto="1"/>
        <name val="Arial"/>
        <scheme val="none"/>
      </font>
      <fill>
        <patternFill patternType="none">
          <fgColor indexed="64"/>
          <bgColor indexed="65"/>
        </patternFill>
      </fill>
      <protection locked="1" hidden="1"/>
    </dxf>
    <dxf>
      <font>
        <strike val="0"/>
        <outline val="0"/>
        <shadow val="0"/>
        <u val="none"/>
        <vertAlign val="baseline"/>
        <sz val="10"/>
        <color auto="1"/>
        <name val="Arial"/>
        <scheme val="none"/>
      </font>
      <protection locked="1" hidden="1"/>
    </dxf>
    <dxf>
      <border>
        <bottom style="thin">
          <color theme="1"/>
        </bottom>
      </border>
    </dxf>
    <dxf>
      <font>
        <strike val="0"/>
        <outline val="0"/>
        <shadow val="0"/>
        <u val="none"/>
        <vertAlign val="baseline"/>
        <sz val="10"/>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general"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theme="1"/>
        </left>
        <right style="thin">
          <color theme="1"/>
        </right>
        <top style="thin">
          <color theme="1"/>
        </top>
        <bottom style="thin">
          <color theme="1"/>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color auto="1"/>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0" formatCode="General"/>
      <fill>
        <patternFill patternType="solid">
          <fgColor indexed="64"/>
          <bgColor theme="0"/>
        </patternFill>
      </fill>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13" formatCode="0%"/>
      <alignment horizontal="right" vertical="center"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strike val="0"/>
        <outline val="0"/>
        <shadow val="0"/>
        <u val="none"/>
        <vertAlign val="baseline"/>
        <sz val="10"/>
        <color auto="1"/>
        <name val="Arial"/>
        <scheme val="none"/>
      </font>
      <numFmt numFmtId="0" formatCode="General"/>
      <fill>
        <patternFill patternType="solid">
          <fgColor indexed="64"/>
          <bgColor theme="0"/>
        </patternFill>
      </fill>
      <alignment horizontal="left" vertical="bottom" textRotation="0" wrapText="1" indent="0" justifyLastLine="0" shrinkToFit="0" readingOrder="0"/>
      <border diagonalUp="0" diagonalDown="0">
        <left/>
        <right/>
        <top style="thin">
          <color indexed="64"/>
        </top>
        <bottom style="thin">
          <color indexed="64"/>
        </bottom>
      </border>
      <protection locked="1" hidden="1"/>
    </dxf>
    <dxf>
      <numFmt numFmtId="0" formatCode="General"/>
      <alignment horizontal="general" vertical="bottom" textRotation="0" wrapText="1" indent="0" justifyLastLine="0" shrinkToFit="0" readingOrder="0"/>
    </dxf>
    <dxf>
      <border diagonalUp="0" diagonalDown="0">
        <left style="thin">
          <color theme="1"/>
        </left>
        <right style="thin">
          <color theme="1"/>
        </right>
        <top style="thin">
          <color theme="1"/>
        </top>
        <bottom style="thin">
          <color theme="1"/>
        </bottom>
      </border>
    </dxf>
    <dxf>
      <font>
        <strike val="0"/>
        <outline val="0"/>
        <shadow val="0"/>
        <u val="none"/>
        <vertAlign val="baseline"/>
        <sz val="10"/>
        <color auto="1"/>
        <name val="Arial"/>
        <scheme val="none"/>
      </font>
      <alignment horizontal="general" vertical="bottom" textRotation="0" wrapText="1" indent="0" justifyLastLine="0" shrinkToFit="0" readingOrder="0"/>
      <protection locked="1" hidden="1"/>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2"/>
        <color theme="1"/>
        <name val="Calibri"/>
        <scheme val="minor"/>
      </font>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border diagonalUp="0" diagonalDown="0">
        <left/>
        <right style="thin">
          <color indexed="64"/>
        </right>
      </border>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1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protection locked="1" hidden="1"/>
    </dxf>
    <dxf>
      <border outline="0">
        <top style="thin">
          <color rgb="FF000000"/>
        </top>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rgb="FFD9D9D9"/>
          <bgColor rgb="FFD9D9D9"/>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0" formatCode="General"/>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0" formatCode="General"/>
      <fill>
        <patternFill patternType="solid">
          <fgColor theme="0" tint="-0.14999847407452621"/>
          <bgColor theme="0" tint="-0.14999847407452621"/>
        </patternFill>
      </fill>
      <alignment horizontal="right" vertical="bottom" textRotation="0" wrapText="1" indent="0" justifyLastLine="0" shrinkToFit="0" readingOrder="0"/>
      <border diagonalUp="0" diagonalDown="0">
        <left style="thin">
          <color theme="1"/>
        </left>
        <right/>
        <top/>
        <bottom/>
        <vertical/>
        <horizontal/>
      </border>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numFmt numFmtId="3" formatCode="#,##0"/>
      <fill>
        <patternFill patternType="solid">
          <fgColor indexed="64"/>
          <bgColor theme="0" tint="-0.249977111117893"/>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right" vertical="bottom" textRotation="0" wrapText="1" indent="0" justifyLastLine="0" shrinkToFit="0" readingOrder="0"/>
      <protection locked="1" hidden="1"/>
    </dxf>
    <dxf>
      <fill>
        <patternFill patternType="solid">
          <fgColor indexed="64"/>
          <bgColor theme="0" tint="-0.249977111117893"/>
        </patternFill>
      </fill>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ill>
        <patternFill patternType="solid">
          <fgColor rgb="FF000000"/>
          <bgColor rgb="FFBFBFBF"/>
        </patternFill>
      </fill>
      <alignment horizontal="right" vertical="bottom" textRotation="0" wrapText="0" indent="0" justifyLastLine="0" shrinkToFit="0" readingOrder="0"/>
      <protection locked="1" hidden="1"/>
    </dxf>
    <dxf>
      <border diagonalUp="0" diagonalDown="0">
        <left style="thin">
          <color theme="1"/>
        </left>
        <right style="thin">
          <color theme="1"/>
        </right>
        <top style="thin">
          <color theme="1"/>
        </top>
        <bottom style="thin">
          <color theme="1"/>
        </bottom>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65" formatCode="_(* #,##0_);_(* \(#,##0\);_(* &quot;-&quot;??_);_(@_)"/>
      <protection locked="1" hidden="1"/>
    </dxf>
    <dxf>
      <font>
        <strike val="0"/>
        <outline val="0"/>
        <shadow val="0"/>
        <u val="none"/>
        <vertAlign val="baseline"/>
        <sz val="10"/>
        <name val="Arial"/>
        <scheme val="none"/>
      </font>
      <numFmt numFmtId="165" formatCode="_(* #,##0_);_(* \(#,##0\);_(* &quot;-&quot;??_);_(@_)"/>
      <protection locked="1" hidden="1"/>
    </dxf>
    <dxf>
      <font>
        <strike val="0"/>
        <outline val="0"/>
        <shadow val="0"/>
        <u val="none"/>
        <vertAlign val="baseline"/>
        <sz val="10"/>
        <name val="Arial"/>
        <scheme val="none"/>
      </font>
      <numFmt numFmtId="165" formatCode="_(* #,##0_);_(* \(#,##0\);_(* &quot;-&quot;??_);_(@_)"/>
      <protection locked="1" hidden="1"/>
    </dxf>
    <dxf>
      <font>
        <strike val="0"/>
        <outline val="0"/>
        <shadow val="0"/>
        <u val="none"/>
        <vertAlign val="baseline"/>
        <sz val="10"/>
        <name val="Arial"/>
        <scheme val="none"/>
      </font>
      <numFmt numFmtId="165" formatCode="_(* #,##0_);_(* \(#,##0\);_(* &quot;-&quot;??_);_(@_)"/>
      <protection locked="1" hidden="1"/>
    </dxf>
    <dxf>
      <font>
        <strike val="0"/>
        <outline val="0"/>
        <shadow val="0"/>
        <u val="none"/>
        <vertAlign val="baseline"/>
        <sz val="10"/>
        <name val="Arial"/>
        <scheme val="none"/>
      </font>
      <numFmt numFmtId="165" formatCode="_(* #,##0_);_(* \(#,##0\);_(* &quot;-&quot;??_);_(@_)"/>
      <protection locked="1" hidden="1"/>
    </dxf>
    <dxf>
      <font>
        <strike val="0"/>
        <outline val="0"/>
        <shadow val="0"/>
        <u val="none"/>
        <vertAlign val="baseline"/>
        <sz val="10"/>
        <name val="Arial"/>
        <scheme val="none"/>
      </font>
      <numFmt numFmtId="165" formatCode="_(* #,##0_);_(* \(#,##0\);_(* &quot;-&quot;??_);_(@_)"/>
      <protection locked="1" hidden="1"/>
    </dxf>
    <dxf>
      <font>
        <strike val="0"/>
        <outline val="0"/>
        <shadow val="0"/>
        <u val="none"/>
        <vertAlign val="baseline"/>
        <sz val="10"/>
        <name val="Arial"/>
        <scheme val="none"/>
      </font>
      <numFmt numFmtId="165" formatCode="_(* #,##0_);_(* \(#,##0\);_(* &quot;-&quot;??_);_(@_)"/>
      <protection locked="1" hidden="1"/>
    </dxf>
    <dxf>
      <font>
        <strike val="0"/>
        <outline val="0"/>
        <shadow val="0"/>
        <u val="none"/>
        <vertAlign val="baseline"/>
        <sz val="10"/>
        <name val="Arial"/>
        <scheme val="none"/>
      </font>
      <numFmt numFmtId="165" formatCode="_(* #,##0_);_(* \(#,##0\);_(* &quot;-&quot;??_);_(@_)"/>
      <protection locked="1" hidden="1"/>
    </dxf>
    <dxf>
      <font>
        <strike val="0"/>
        <outline val="0"/>
        <shadow val="0"/>
        <u val="none"/>
        <vertAlign val="baseline"/>
        <sz val="10"/>
        <name val="Arial"/>
        <scheme val="none"/>
      </font>
      <numFmt numFmtId="165" formatCode="_(* #,##0_);_(* \(#,##0\);_(* &quot;-&quot;??_);_(@_)"/>
      <protection locked="1" hidden="1"/>
    </dxf>
    <dxf>
      <font>
        <strike val="0"/>
        <outline val="0"/>
        <shadow val="0"/>
        <u val="none"/>
        <vertAlign val="baseline"/>
        <sz val="10"/>
        <color theme="0"/>
        <name val="Arial"/>
        <scheme val="none"/>
      </font>
      <numFmt numFmtId="165" formatCode="_(* #,##0_);_(* \(#,##0\);_(* &quot;-&quot;??_);_(@_)"/>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3" formatCode="0%"/>
      <fill>
        <patternFill patternType="solid">
          <fgColor theme="0" tint="-0.14999847407452621"/>
          <bgColor theme="0" tint="-0.14999847407452621"/>
        </patternFill>
      </fill>
      <alignment horizontal="general" vertical="bottom" textRotation="0" wrapText="1" indent="0" justifyLastLine="0" shrinkToFit="0" readingOrder="0"/>
      <border diagonalUp="0" diagonalDown="0">
        <left/>
        <right style="thin">
          <color indexed="64"/>
        </right>
        <vertical/>
      </border>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fill>
        <patternFill patternType="solid">
          <fgColor theme="0" tint="-0.14999847407452621"/>
          <bgColor theme="0" tint="-0.14999847407452621"/>
        </patternFill>
      </fill>
      <alignment horizontal="general" vertical="bottom" textRotation="0" wrapText="1" indent="0" justifyLastLine="0" shrinkToFit="0" readingOrder="0"/>
      <protection locked="1" hidden="1"/>
    </dxf>
    <dxf>
      <protection locked="1" hidden="1"/>
    </dxf>
    <dxf>
      <border outline="0">
        <top style="thin">
          <color rgb="FF000000"/>
        </top>
      </border>
    </dxf>
    <dxf>
      <font>
        <b val="0"/>
        <i val="0"/>
        <strike val="0"/>
        <condense val="0"/>
        <extend val="0"/>
        <outline val="0"/>
        <shadow val="0"/>
        <u val="none"/>
        <vertAlign val="baseline"/>
        <sz val="10"/>
        <color rgb="FF000000"/>
        <name val="Arial"/>
        <scheme val="none"/>
      </font>
      <fill>
        <patternFill patternType="solid">
          <fgColor rgb="FFD9D9D9"/>
          <bgColor rgb="FFD9D9D9"/>
        </patternFill>
      </fill>
      <alignment horizontal="general" vertical="bottom" textRotation="0" wrapText="1" indent="0" justifyLastLine="0" shrinkToFit="0" readingOrder="0"/>
      <protection locked="1" hidden="1"/>
    </dxf>
    <dxf>
      <border outline="0">
        <bottom style="thin">
          <color rgb="FF000000"/>
        </bottom>
      </border>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3" formatCode="#,##0"/>
      <alignment horizontal="general" vertical="bottom" textRotation="0" wrapText="1" indent="0" justifyLastLine="0" shrinkToFit="0" readingOrder="0"/>
      <protection locked="1" hidden="1"/>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strike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 formatCode="0"/>
      <fill>
        <patternFill patternType="solid">
          <fgColor indexed="64"/>
          <bgColor theme="0"/>
        </patternFill>
      </fill>
      <alignment horizontal="right" vertical="bottom" textRotation="0" wrapText="1" indent="0" justifyLastLine="0" shrinkToFit="0" readingOrder="0"/>
      <protection locked="1" hidden="1"/>
    </dxf>
    <dxf>
      <font>
        <strike val="0"/>
        <outline val="0"/>
        <shadow val="0"/>
        <u val="none"/>
        <vertAlign val="baseline"/>
        <sz val="10"/>
        <name val="Arial"/>
        <scheme val="none"/>
      </font>
      <numFmt numFmtId="13" formatCode="0%"/>
      <alignment horizontal="right" vertical="bottom" textRotation="0" wrapText="1"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strike val="0"/>
        <outline val="0"/>
        <shadow val="0"/>
        <u val="none"/>
        <vertAlign val="baseline"/>
        <sz val="10"/>
        <color auto="1"/>
        <name val="Arial"/>
        <scheme val="none"/>
      </font>
      <numFmt numFmtId="3" formatCode="#,##0"/>
      <fill>
        <patternFill patternType="solid">
          <fgColor indexed="64"/>
          <bgColor theme="0"/>
        </patternFill>
      </fill>
      <alignment horizontal="right" vertical="center" textRotation="0" wrapText="0" indent="0" justifyLastLine="0" shrinkToFit="0" readingOrder="0"/>
      <protection locked="1" hidden="1"/>
    </dxf>
    <dxf>
      <font>
        <b/>
        <strike val="0"/>
        <outline val="0"/>
        <shadow val="0"/>
        <u val="none"/>
        <vertAlign val="baseline"/>
        <sz val="10"/>
        <name val="Arial"/>
        <scheme val="none"/>
      </font>
      <numFmt numFmtId="0" formatCode="General"/>
      <fill>
        <patternFill patternType="solid">
          <fgColor indexed="64"/>
          <bgColor theme="0"/>
        </patternFill>
      </fill>
      <alignment horizontal="general" vertical="bottom" textRotation="0" wrapText="1" indent="0" justifyLastLine="0" shrinkToFit="0" readingOrder="0"/>
      <protection locked="1" hidden="1"/>
    </dxf>
    <dxf>
      <numFmt numFmtId="0" formatCode="General"/>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alignment horizontal="general" vertical="bottom" textRotation="0" wrapText="1" indent="0" justifyLastLine="0" shrinkToFit="0" readingOrder="0"/>
      <protection locked="1" hidden="1"/>
    </dxf>
    <dxf>
      <font>
        <b/>
        <i val="0"/>
        <strike val="0"/>
        <condense val="0"/>
        <extend val="0"/>
        <outline val="0"/>
        <shadow val="0"/>
        <u val="none"/>
        <vertAlign val="baseline"/>
        <sz val="10"/>
        <color theme="0"/>
        <name val="Arial"/>
        <scheme val="none"/>
      </font>
      <fill>
        <patternFill patternType="solid">
          <fgColor indexed="64"/>
          <bgColor theme="0" tint="-0.34998626667073579"/>
        </patternFill>
      </fill>
      <alignment horizontal="general" vertical="bottom" textRotation="0" wrapText="1" indent="0" justifyLastLine="0" shrinkToFit="0" readingOrder="0"/>
      <protection locked="1" hidden="1"/>
    </dxf>
    <dxf>
      <font>
        <b val="0"/>
        <i val="0"/>
        <strike val="0"/>
        <condense val="0"/>
        <extend val="0"/>
        <outline val="0"/>
        <shadow val="0"/>
        <u val="none"/>
        <vertAlign val="baseline"/>
        <sz val="11"/>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1"/>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1"/>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1"/>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1"/>
        <color auto="1"/>
        <name val="Arial"/>
        <scheme val="none"/>
      </font>
      <numFmt numFmtId="167" formatCode="_-* #,##0_-;\-* #,##0_-;_-* &quot;-&quot;??_-;_-@_-"/>
      <fill>
        <patternFill patternType="none">
          <fgColor indexed="64"/>
          <bgColor indexed="65"/>
        </patternFill>
      </fill>
      <border diagonalUp="0" diagonalDown="0">
        <left style="thin">
          <color theme="1"/>
        </left>
        <right/>
        <top/>
        <bottom/>
        <vertical/>
        <horizontal/>
      </border>
      <protection locked="1" hidden="1"/>
    </dxf>
    <dxf>
      <font>
        <b val="0"/>
        <i val="0"/>
        <strike val="0"/>
        <condense val="0"/>
        <extend val="0"/>
        <outline val="0"/>
        <shadow val="0"/>
        <u val="none"/>
        <vertAlign val="baseline"/>
        <sz val="11"/>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1"/>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1"/>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border>
    </dxf>
    <dxf>
      <font>
        <b val="0"/>
        <i val="0"/>
        <strike val="0"/>
        <condense val="0"/>
        <extend val="0"/>
        <outline val="0"/>
        <shadow val="0"/>
        <u val="none"/>
        <vertAlign val="baseline"/>
        <sz val="11"/>
        <color auto="1"/>
        <name val="Arial"/>
        <scheme val="none"/>
      </font>
      <fill>
        <patternFill patternType="none">
          <fgColor indexed="64"/>
          <bgColor indexed="65"/>
        </patternFill>
      </fill>
      <protection locked="1" hidden="1"/>
    </dxf>
    <dxf>
      <border>
        <bottom style="thin">
          <color theme="1"/>
        </bottom>
      </border>
    </dxf>
    <dxf>
      <font>
        <b val="0"/>
        <i val="0"/>
        <strike val="0"/>
        <condense val="0"/>
        <extend val="0"/>
        <outline val="0"/>
        <shadow val="0"/>
        <u val="none"/>
        <vertAlign val="baseline"/>
        <sz val="11"/>
        <color theme="0"/>
        <name val="Arial"/>
        <scheme val="none"/>
      </font>
      <fill>
        <patternFill patternType="solid">
          <fgColor indexed="64"/>
          <bgColor theme="0" tint="-0.34998626667073579"/>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numFmt numFmtId="3" formatCode="#,##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strike val="0"/>
        <outline val="0"/>
        <shadow val="0"/>
        <u val="none"/>
        <vertAlign val="baseline"/>
        <sz val="10"/>
        <name val="Arial"/>
        <scheme val="none"/>
      </font>
      <protection locked="1" hidden="1"/>
    </dxf>
    <dxf>
      <font>
        <b val="0"/>
        <i val="0"/>
        <strike val="0"/>
        <condense val="0"/>
        <extend val="0"/>
        <outline val="0"/>
        <shadow val="0"/>
        <u val="none"/>
        <vertAlign val="baseline"/>
        <sz val="11"/>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border outline="0">
        <bottom style="thin">
          <color indexed="64"/>
        </bottom>
      </border>
    </dxf>
    <dxf>
      <font>
        <b val="0"/>
        <i val="0"/>
        <strike val="0"/>
        <condense val="0"/>
        <extend val="0"/>
        <outline val="0"/>
        <shadow val="0"/>
        <u val="none"/>
        <vertAlign val="baseline"/>
        <sz val="11"/>
        <color theme="0"/>
        <name val="Arial"/>
        <scheme val="none"/>
      </font>
      <fill>
        <patternFill patternType="solid">
          <fgColor indexed="64"/>
          <bgColor theme="0" tint="-0.34998626667073579"/>
        </patternFill>
      </fill>
      <protection locked="1" hidden="1"/>
    </dxf>
    <dxf>
      <font>
        <b val="0"/>
        <i val="0"/>
        <strike val="0"/>
        <condense val="0"/>
        <extend val="0"/>
        <outline val="0"/>
        <shadow val="0"/>
        <u val="none"/>
        <vertAlign val="baseline"/>
        <sz val="10"/>
        <color theme="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0"/>
        <color theme="1"/>
        <name val="Arial"/>
        <scheme val="none"/>
      </font>
      <fill>
        <patternFill patternType="none">
          <fgColor indexed="64"/>
          <bgColor indexed="65"/>
        </patternFill>
      </fill>
      <protection locked="1" hidden="1"/>
    </dxf>
    <dxf>
      <border outline="0">
        <bottom style="thin">
          <color indexed="64"/>
        </bottom>
      </border>
    </dxf>
    <dxf>
      <font>
        <b val="0"/>
        <i val="0"/>
        <strike val="0"/>
        <condense val="0"/>
        <extend val="0"/>
        <outline val="0"/>
        <shadow val="0"/>
        <u val="none"/>
        <vertAlign val="baseline"/>
        <sz val="11"/>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1"/>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8" formatCode="_-* #,##0.0_-;\-* #,##0.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8" formatCode="_-* #,##0.0_-;\-* #,##0.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8" formatCode="_-* #,##0.0_-;\-* #,##0.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8" formatCode="_-* #,##0.0_-;\-* #,##0.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8" formatCode="_-* #,##0.0_-;\-* #,##0.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border>
        <bottom style="thin">
          <color theme="1"/>
        </bottom>
      </border>
    </dxf>
    <dxf>
      <font>
        <b val="0"/>
        <i val="0"/>
        <strike val="0"/>
        <condense val="0"/>
        <extend val="0"/>
        <outline val="0"/>
        <shadow val="0"/>
        <u val="none"/>
        <vertAlign val="baseline"/>
        <sz val="11"/>
        <color theme="0"/>
        <name val="Arial"/>
        <scheme val="none"/>
      </font>
      <fill>
        <patternFill patternType="solid">
          <fgColor indexed="64"/>
          <bgColor theme="0" tint="-0.34998626667073579"/>
        </patternFill>
      </fill>
      <alignment horizontal="right" vertical="bottom" textRotation="0" wrapText="1" indent="0" justifyLastLine="0" shrinkToFit="0" readingOrder="0"/>
      <border diagonalUp="0" diagonalDown="0">
        <left/>
        <right/>
        <top/>
        <bottom/>
        <vertical/>
        <horizontal/>
      </border>
      <protection locked="1" hidden="1"/>
    </dxf>
    <dxf>
      <font>
        <b val="0"/>
        <i val="0"/>
        <strike val="0"/>
        <condense val="0"/>
        <extend val="0"/>
        <outline val="0"/>
        <shadow val="0"/>
        <u val="none"/>
        <vertAlign val="baseline"/>
        <sz val="11"/>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1"/>
        <color theme="0"/>
        <name val="Arial"/>
        <scheme val="none"/>
      </font>
      <fill>
        <patternFill patternType="solid">
          <fgColor indexed="64"/>
          <bgColor theme="0" tint="-0.34998626667073579"/>
        </patternFill>
      </fill>
      <alignment horizontal="right" vertical="bottom" textRotation="0" wrapText="1" indent="0" justifyLastLine="0" shrinkToFit="0" readingOrder="0"/>
      <protection locked="1" hidden="1"/>
    </dxf>
    <dxf>
      <font>
        <b val="0"/>
        <i val="0"/>
        <strike val="0"/>
        <condense val="0"/>
        <extend val="0"/>
        <outline val="0"/>
        <shadow val="0"/>
        <u val="none"/>
        <vertAlign val="baseline"/>
        <sz val="11"/>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1"/>
        <color theme="0"/>
        <name val="Arial"/>
        <scheme val="none"/>
      </font>
      <fill>
        <patternFill patternType="solid">
          <fgColor indexed="64"/>
          <bgColor theme="0" tint="-0.34998626667073579"/>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1"/>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0" formatCode="General"/>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1" hidden="1"/>
    </dxf>
    <dxf>
      <font>
        <b val="0"/>
        <i val="0"/>
        <strike val="0"/>
        <condense val="0"/>
        <extend val="0"/>
        <outline val="0"/>
        <shadow val="0"/>
        <u val="none"/>
        <vertAlign val="baseline"/>
        <sz val="11"/>
        <color theme="0"/>
        <name val="Arial"/>
        <scheme val="none"/>
      </font>
      <fill>
        <patternFill patternType="solid">
          <fgColor indexed="64"/>
          <bgColor theme="0" tint="-0.34998626667073579"/>
        </patternFill>
      </fill>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theme="1"/>
        <name val="Arial"/>
        <scheme val="none"/>
      </font>
      <numFmt numFmtId="166" formatCode="0.0"/>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numFmt numFmtId="167" formatCode="_-* #,##0_-;\-* #,##0_-;_-* &quot;-&quot;??_-;_-@_-"/>
      <fill>
        <patternFill patternType="none">
          <fgColor indexed="64"/>
          <bgColor indexed="65"/>
        </patternFill>
      </fill>
      <protection locked="1" hidden="1"/>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center" textRotation="0" wrapText="1" indent="0" justifyLastLine="0" shrinkToFit="0" readingOrder="0"/>
      <protection locked="1" hidden="1"/>
    </dxf>
    <dxf>
      <border outline="0">
        <left style="thin">
          <color indexed="64"/>
        </left>
        <right style="thin">
          <color indexed="64"/>
        </right>
        <top style="thin">
          <color indexed="64"/>
        </top>
      </border>
    </dxf>
    <dxf>
      <font>
        <b val="0"/>
        <i val="0"/>
        <strike val="0"/>
        <condense val="0"/>
        <extend val="0"/>
        <outline val="0"/>
        <shadow val="0"/>
        <u val="none"/>
        <vertAlign val="baseline"/>
        <sz val="11"/>
        <color theme="1"/>
        <name val="Arial"/>
        <scheme val="none"/>
      </font>
      <fill>
        <patternFill patternType="none">
          <fgColor indexed="64"/>
          <bgColor indexed="65"/>
        </patternFill>
      </fill>
      <protection locked="1" hidden="1"/>
    </dxf>
    <dxf>
      <protection locked="1" hidden="1"/>
    </dxf>
    <dxf>
      <protection locked="1" hidden="1"/>
    </dxf>
    <dxf>
      <protection locked="1" hidden="1"/>
    </dxf>
    <dxf>
      <font>
        <b val="0"/>
        <i val="0"/>
        <strike val="0"/>
        <condense val="0"/>
        <extend val="0"/>
        <outline val="0"/>
        <shadow val="0"/>
        <u val="none"/>
        <vertAlign val="baseline"/>
        <sz val="10"/>
        <color auto="1"/>
        <name val="Arial"/>
        <scheme val="none"/>
      </font>
      <numFmt numFmtId="167" formatCode="_-* #,##0_-;\-* #,##0_-;_-* &quot;-&quot;??_-;_-@_-"/>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Arial"/>
        <scheme val="none"/>
      </font>
      <numFmt numFmtId="166" formatCode="0.0"/>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numFmt numFmtId="167" formatCode="_-* #,##0_-;\-* #,##0_-;_-* &quot;-&quot;??_-;_-@_-"/>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auto="1"/>
        <name val="Arial"/>
        <scheme val="none"/>
      </font>
      <protection locked="1" hidden="1"/>
    </dxf>
    <dxf>
      <border diagonalUp="0" diagonalDown="0">
        <left style="thin">
          <color theme="1"/>
        </left>
        <right style="thin">
          <color theme="1"/>
        </right>
        <top style="thin">
          <color theme="1"/>
        </top>
        <bottom style="thin">
          <color theme="1"/>
        </bottom>
      </border>
    </dxf>
    <dxf>
      <protection locked="1" hidden="1"/>
    </dxf>
    <dxf>
      <border outline="0">
        <bottom style="thin">
          <color theme="1"/>
        </bottom>
      </border>
    </dxf>
    <dxf>
      <font>
        <b/>
        <i val="0"/>
        <strike val="0"/>
        <condense val="0"/>
        <extend val="0"/>
        <outline val="0"/>
        <shadow val="0"/>
        <u val="none"/>
        <vertAlign val="baseline"/>
        <sz val="10"/>
        <color theme="0"/>
        <name val="Arial"/>
        <scheme val="none"/>
      </font>
      <numFmt numFmtId="0" formatCode="General"/>
      <fill>
        <patternFill patternType="solid">
          <fgColor indexed="64"/>
          <bgColor theme="0" tint="-0.34998626667073579"/>
        </patternFill>
      </fill>
      <alignment horizontal="right" vertical="bottom" textRotation="0" wrapText="1" indent="0" justifyLastLine="0" shrinkToFit="0" readingOrder="0"/>
      <protection locked="1" hidden="1"/>
    </dxf>
  </dxfs>
  <tableStyles count="1" defaultTableStyle="TableStyleMedium2" defaultPivotStyle="PivotStyleLight16">
    <tableStyle name="Table Style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 change 2011-2016</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222009167693379E-2"/>
          <c:y val="0.17706477518080996"/>
          <c:w val="0.8731842314498961"/>
          <c:h val="0.45987756111637879"/>
        </c:manualLayout>
      </c:layout>
      <c:barChart>
        <c:barDir val="bar"/>
        <c:grouping val="clustered"/>
        <c:varyColors val="0"/>
        <c:ser>
          <c:idx val="0"/>
          <c:order val="0"/>
          <c:tx>
            <c:strRef>
              <c:f>'3.2 Alice Springs'!$B$15</c:f>
              <c:strCache>
                <c:ptCount val="1"/>
                <c:pt idx="0">
                  <c:v>Population</c:v>
                </c:pt>
              </c:strCache>
            </c:strRef>
          </c:tx>
          <c:spPr>
            <a:solidFill>
              <a:schemeClr val="dk1">
                <a:tint val="88500"/>
              </a:schemeClr>
            </a:solidFill>
            <a:ln>
              <a:noFill/>
            </a:ln>
            <a:effectLst/>
          </c:spPr>
          <c:invertIfNegative val="0"/>
          <c:val>
            <c:numRef>
              <c:f>'3.2 Alice Springs'!$G$15</c:f>
              <c:numCache>
                <c:formatCode>0%</c:formatCode>
                <c:ptCount val="1"/>
                <c:pt idx="0">
                  <c:v>-1.7271500039704599E-2</c:v>
                </c:pt>
              </c:numCache>
            </c:numRef>
          </c:val>
          <c:extLst xmlns:c16r2="http://schemas.microsoft.com/office/drawing/2015/06/chart">
            <c:ext xmlns:c16="http://schemas.microsoft.com/office/drawing/2014/chart" uri="{C3380CC4-5D6E-409C-BE32-E72D297353CC}">
              <c16:uniqueId val="{00000000-D15F-D54B-93B9-B28DA155FB59}"/>
            </c:ext>
          </c:extLst>
        </c:ser>
        <c:ser>
          <c:idx val="1"/>
          <c:order val="1"/>
          <c:tx>
            <c:strRef>
              <c:f>'3.2 Alice Springs'!$B$17</c:f>
              <c:strCache>
                <c:ptCount val="1"/>
                <c:pt idx="0">
                  <c:v>Overseas born (a)</c:v>
                </c:pt>
              </c:strCache>
            </c:strRef>
          </c:tx>
          <c:spPr>
            <a:solidFill>
              <a:schemeClr val="dk1">
                <a:tint val="55000"/>
              </a:schemeClr>
            </a:solidFill>
            <a:ln>
              <a:noFill/>
            </a:ln>
            <a:effectLst/>
          </c:spPr>
          <c:invertIfNegative val="0"/>
          <c:val>
            <c:numRef>
              <c:f>'3.2 Alice Springs'!$G$17</c:f>
              <c:numCache>
                <c:formatCode>0%</c:formatCode>
                <c:ptCount val="1"/>
                <c:pt idx="0">
                  <c:v>0.1518282988871224</c:v>
                </c:pt>
              </c:numCache>
            </c:numRef>
          </c:val>
          <c:extLst xmlns:c16r2="http://schemas.microsoft.com/office/drawing/2015/06/chart">
            <c:ext xmlns:c16="http://schemas.microsoft.com/office/drawing/2014/chart" uri="{C3380CC4-5D6E-409C-BE32-E72D297353CC}">
              <c16:uniqueId val="{00000001-D15F-D54B-93B9-B28DA155FB59}"/>
            </c:ext>
          </c:extLst>
        </c:ser>
        <c:ser>
          <c:idx val="2"/>
          <c:order val="2"/>
          <c:tx>
            <c:strRef>
              <c:f>'3.2 Alice Springs'!$B$16</c:f>
              <c:strCache>
                <c:ptCount val="1"/>
                <c:pt idx="0">
                  <c:v>Australian born</c:v>
                </c:pt>
              </c:strCache>
            </c:strRef>
          </c:tx>
          <c:spPr>
            <a:solidFill>
              <a:schemeClr val="dk1">
                <a:tint val="75000"/>
              </a:schemeClr>
            </a:solidFill>
            <a:ln>
              <a:noFill/>
            </a:ln>
            <a:effectLst/>
          </c:spPr>
          <c:invertIfNegative val="0"/>
          <c:dPt>
            <c:idx val="0"/>
            <c:invertIfNegative val="0"/>
            <c:bubble3D val="0"/>
            <c:spPr>
              <a:solidFill>
                <a:schemeClr val="bg1">
                  <a:lumMod val="85000"/>
                </a:schemeClr>
              </a:solidFill>
              <a:ln>
                <a:noFill/>
              </a:ln>
              <a:effectLst/>
            </c:spPr>
            <c:extLst xmlns:c16r2="http://schemas.microsoft.com/office/drawing/2015/06/chart">
              <c:ext xmlns:c16="http://schemas.microsoft.com/office/drawing/2014/chart" uri="{C3380CC4-5D6E-409C-BE32-E72D297353CC}">
                <c16:uniqueId val="{00000003-D15F-D54B-93B9-B28DA155FB59}"/>
              </c:ext>
            </c:extLst>
          </c:dPt>
          <c:val>
            <c:numRef>
              <c:f>'3.2 Alice Springs'!$G$16</c:f>
              <c:numCache>
                <c:formatCode>0%</c:formatCode>
                <c:ptCount val="1"/>
                <c:pt idx="0">
                  <c:v>-0.10840608909782852</c:v>
                </c:pt>
              </c:numCache>
            </c:numRef>
          </c:val>
          <c:extLst xmlns:c16r2="http://schemas.microsoft.com/office/drawing/2015/06/chart">
            <c:ext xmlns:c16="http://schemas.microsoft.com/office/drawing/2014/chart" uri="{C3380CC4-5D6E-409C-BE32-E72D297353CC}">
              <c16:uniqueId val="{00000004-D15F-D54B-93B9-B28DA155FB59}"/>
            </c:ext>
          </c:extLst>
        </c:ser>
        <c:ser>
          <c:idx val="3"/>
          <c:order val="3"/>
          <c:tx>
            <c:strRef>
              <c:f>'3.2 Alice Springs'!$B$20</c:f>
              <c:strCache>
                <c:ptCount val="1"/>
                <c:pt idx="0">
                  <c:v>Overseas born - NMESC</c:v>
                </c:pt>
              </c:strCache>
            </c:strRef>
          </c:tx>
          <c:spPr>
            <a:solidFill>
              <a:schemeClr val="dk1">
                <a:tint val="98500"/>
              </a:schemeClr>
            </a:solidFill>
            <a:ln>
              <a:noFill/>
            </a:ln>
            <a:effectLst/>
          </c:spPr>
          <c:invertIfNegative val="0"/>
          <c:val>
            <c:numRef>
              <c:f>'3.2 Alice Springs'!$G$20</c:f>
              <c:numCache>
                <c:formatCode>0%</c:formatCode>
                <c:ptCount val="1"/>
                <c:pt idx="0">
                  <c:v>0.23023255813953489</c:v>
                </c:pt>
              </c:numCache>
            </c:numRef>
          </c:val>
          <c:extLst xmlns:c16r2="http://schemas.microsoft.com/office/drawing/2015/06/chart">
            <c:ext xmlns:c16="http://schemas.microsoft.com/office/drawing/2014/chart" uri="{C3380CC4-5D6E-409C-BE32-E72D297353CC}">
              <c16:uniqueId val="{00000005-D15F-D54B-93B9-B28DA155FB59}"/>
            </c:ext>
          </c:extLst>
        </c:ser>
        <c:dLbls>
          <c:showLegendKey val="0"/>
          <c:showVal val="0"/>
          <c:showCatName val="0"/>
          <c:showSerName val="0"/>
          <c:showPercent val="0"/>
          <c:showBubbleSize val="0"/>
        </c:dLbls>
        <c:gapWidth val="86"/>
        <c:axId val="177135088"/>
        <c:axId val="178130192"/>
      </c:barChart>
      <c:catAx>
        <c:axId val="177135088"/>
        <c:scaling>
          <c:orientation val="minMax"/>
        </c:scaling>
        <c:delete val="1"/>
        <c:axPos val="l"/>
        <c:majorTickMark val="none"/>
        <c:minorTickMark val="none"/>
        <c:tickLblPos val="nextTo"/>
        <c:crossAx val="178130192"/>
        <c:crosses val="autoZero"/>
        <c:auto val="1"/>
        <c:lblAlgn val="ctr"/>
        <c:lblOffset val="100"/>
        <c:noMultiLvlLbl val="0"/>
      </c:catAx>
      <c:valAx>
        <c:axId val="17813019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77135088"/>
        <c:crosses val="autoZero"/>
        <c:crossBetween val="between"/>
      </c:valAx>
      <c:spPr>
        <a:noFill/>
        <a:ln>
          <a:noFill/>
        </a:ln>
        <a:effectLst/>
      </c:spPr>
    </c:plotArea>
    <c:legend>
      <c:legendPos val="b"/>
      <c:layout>
        <c:manualLayout>
          <c:xMode val="edge"/>
          <c:yMode val="edge"/>
          <c:x val="2.2460829972085268E-2"/>
          <c:y val="0.79086276256046639"/>
          <c:w val="0.97519465587619847"/>
          <c:h val="0.200163460580085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3829604490624526"/>
          <c:y val="0.11261335705439227"/>
          <c:w val="0.64880659149503428"/>
          <c:h val="0.46749812678958497"/>
        </c:manualLayout>
      </c:layout>
      <c:barChart>
        <c:barDir val="bar"/>
        <c:grouping val="percentStacked"/>
        <c:varyColors val="0"/>
        <c:ser>
          <c:idx val="0"/>
          <c:order val="0"/>
          <c:tx>
            <c:strRef>
              <c:f>'3.6 Coomalie'!$B$7</c:f>
              <c:strCache>
                <c:ptCount val="1"/>
                <c:pt idx="0">
                  <c:v>Australian born</c:v>
                </c:pt>
              </c:strCache>
            </c:strRef>
          </c:tx>
          <c:spPr>
            <a:solidFill>
              <a:schemeClr val="dk1">
                <a:tint val="88500"/>
              </a:schemeClr>
            </a:solidFill>
            <a:ln w="19050">
              <a:solidFill>
                <a:schemeClr val="lt1"/>
              </a:solidFill>
            </a:ln>
            <a:effectLst/>
          </c:spPr>
          <c:invertIfNegative val="0"/>
          <c:cat>
            <c:strRef>
              <c:f>'3.6 Coomalie'!$C$6</c:f>
              <c:strCache>
                <c:ptCount val="1"/>
                <c:pt idx="0">
                  <c:v>% of population</c:v>
                </c:pt>
              </c:strCache>
            </c:strRef>
          </c:cat>
          <c:val>
            <c:numRef>
              <c:f>'3.6 Coomalie'!$C$7</c:f>
              <c:numCache>
                <c:formatCode>0%</c:formatCode>
                <c:ptCount val="1"/>
                <c:pt idx="0">
                  <c:v>0.66236722306525042</c:v>
                </c:pt>
              </c:numCache>
            </c:numRef>
          </c:val>
          <c:extLst xmlns:c16r2="http://schemas.microsoft.com/office/drawing/2015/06/chart">
            <c:ext xmlns:c16="http://schemas.microsoft.com/office/drawing/2014/chart" uri="{C3380CC4-5D6E-409C-BE32-E72D297353CC}">
              <c16:uniqueId val="{00000000-7BD0-442D-9D86-225B197ED21F}"/>
            </c:ext>
          </c:extLst>
        </c:ser>
        <c:ser>
          <c:idx val="1"/>
          <c:order val="1"/>
          <c:tx>
            <c:strRef>
              <c:f>'3.6 Coomalie'!$B$8</c:f>
              <c:strCache>
                <c:ptCount val="1"/>
                <c:pt idx="0">
                  <c:v>Birthplace not stated</c:v>
                </c:pt>
              </c:strCache>
            </c:strRef>
          </c:tx>
          <c:spPr>
            <a:solidFill>
              <a:schemeClr val="dk1">
                <a:tint val="55000"/>
              </a:schemeClr>
            </a:solidFill>
            <a:ln w="19050">
              <a:solidFill>
                <a:schemeClr val="lt1"/>
              </a:solidFill>
            </a:ln>
            <a:effectLst/>
          </c:spPr>
          <c:invertIfNegative val="0"/>
          <c:cat>
            <c:strRef>
              <c:f>'3.6 Coomalie'!$C$6</c:f>
              <c:strCache>
                <c:ptCount val="1"/>
                <c:pt idx="0">
                  <c:v>% of population</c:v>
                </c:pt>
              </c:strCache>
            </c:strRef>
          </c:cat>
          <c:val>
            <c:numRef>
              <c:f>'3.6 Coomalie'!$C$8</c:f>
              <c:numCache>
                <c:formatCode>0%</c:formatCode>
                <c:ptCount val="1"/>
                <c:pt idx="0">
                  <c:v>0.21775417298937785</c:v>
                </c:pt>
              </c:numCache>
            </c:numRef>
          </c:val>
          <c:extLst xmlns:c16r2="http://schemas.microsoft.com/office/drawing/2015/06/chart">
            <c:ext xmlns:c16="http://schemas.microsoft.com/office/drawing/2014/chart" uri="{C3380CC4-5D6E-409C-BE32-E72D297353CC}">
              <c16:uniqueId val="{00000001-7BD0-442D-9D86-225B197ED21F}"/>
            </c:ext>
          </c:extLst>
        </c:ser>
        <c:ser>
          <c:idx val="2"/>
          <c:order val="2"/>
          <c:tx>
            <c:v>Overseas born - MESC</c:v>
          </c:tx>
          <c:spPr>
            <a:solidFill>
              <a:schemeClr val="dk1">
                <a:tint val="75000"/>
              </a:schemeClr>
            </a:solidFill>
            <a:ln w="19050">
              <a:solidFill>
                <a:schemeClr val="lt1"/>
              </a:solidFill>
            </a:ln>
            <a:effectLst/>
          </c:spPr>
          <c:invertIfNegative val="0"/>
          <c:cat>
            <c:strRef>
              <c:f>'3.6 Coomalie'!$C$6</c:f>
              <c:strCache>
                <c:ptCount val="1"/>
                <c:pt idx="0">
                  <c:v>% of population</c:v>
                </c:pt>
              </c:strCache>
            </c:strRef>
          </c:cat>
          <c:val>
            <c:numRef>
              <c:f>'3.6 Coomalie'!$C$9</c:f>
              <c:numCache>
                <c:formatCode>0%</c:formatCode>
                <c:ptCount val="1"/>
                <c:pt idx="0">
                  <c:v>6.2974203338391502E-2</c:v>
                </c:pt>
              </c:numCache>
            </c:numRef>
          </c:val>
          <c:extLst xmlns:c16r2="http://schemas.microsoft.com/office/drawing/2015/06/chart">
            <c:ext xmlns:c16="http://schemas.microsoft.com/office/drawing/2014/chart" uri="{C3380CC4-5D6E-409C-BE32-E72D297353CC}">
              <c16:uniqueId val="{00000002-7BD0-442D-9D86-225B197ED21F}"/>
            </c:ext>
          </c:extLst>
        </c:ser>
        <c:ser>
          <c:idx val="3"/>
          <c:order val="3"/>
          <c:tx>
            <c:strRef>
              <c:f>'3.6 Coomalie'!$B$11</c:f>
              <c:strCache>
                <c:ptCount val="1"/>
                <c:pt idx="0">
                  <c:v>Overseas born - NMESC</c:v>
                </c:pt>
              </c:strCache>
            </c:strRef>
          </c:tx>
          <c:spPr>
            <a:solidFill>
              <a:schemeClr val="dk1">
                <a:tint val="98500"/>
              </a:schemeClr>
            </a:solidFill>
            <a:ln w="19050">
              <a:solidFill>
                <a:schemeClr val="lt1"/>
              </a:solidFill>
            </a:ln>
            <a:effectLst/>
          </c:spPr>
          <c:invertIfNegative val="0"/>
          <c:cat>
            <c:strRef>
              <c:f>'3.6 Coomalie'!$C$6</c:f>
              <c:strCache>
                <c:ptCount val="1"/>
                <c:pt idx="0">
                  <c:v>% of population</c:v>
                </c:pt>
              </c:strCache>
            </c:strRef>
          </c:cat>
          <c:val>
            <c:numRef>
              <c:f>'3.6 Coomalie'!$C$11</c:f>
              <c:numCache>
                <c:formatCode>0%</c:formatCode>
                <c:ptCount val="1"/>
                <c:pt idx="0">
                  <c:v>5.9180576631259481E-2</c:v>
                </c:pt>
              </c:numCache>
            </c:numRef>
          </c:val>
          <c:extLst xmlns:c16r2="http://schemas.microsoft.com/office/drawing/2015/06/chart">
            <c:ext xmlns:c16="http://schemas.microsoft.com/office/drawing/2014/chart" uri="{C3380CC4-5D6E-409C-BE32-E72D297353CC}">
              <c16:uniqueId val="{00000003-7BD0-442D-9D86-225B197ED21F}"/>
            </c:ext>
          </c:extLst>
        </c:ser>
        <c:dLbls>
          <c:showLegendKey val="0"/>
          <c:showVal val="0"/>
          <c:showCatName val="0"/>
          <c:showSerName val="0"/>
          <c:showPercent val="0"/>
          <c:showBubbleSize val="0"/>
        </c:dLbls>
        <c:gapWidth val="52"/>
        <c:overlap val="100"/>
        <c:axId val="320095376"/>
        <c:axId val="320094984"/>
      </c:barChart>
      <c:valAx>
        <c:axId val="32009498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0095376"/>
        <c:crosses val="autoZero"/>
        <c:crossBetween val="between"/>
        <c:minorUnit val="0.25"/>
      </c:valAx>
      <c:catAx>
        <c:axId val="32009537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20094984"/>
        <c:crosses val="autoZero"/>
        <c:auto val="1"/>
        <c:lblAlgn val="ctr"/>
        <c:lblOffset val="100"/>
        <c:noMultiLvlLbl val="0"/>
      </c:catAx>
      <c:spPr>
        <a:noFill/>
        <a:ln>
          <a:noFill/>
        </a:ln>
        <a:effectLst/>
      </c:spPr>
    </c:plotArea>
    <c:legend>
      <c:legendPos val="b"/>
      <c:layout>
        <c:manualLayout>
          <c:xMode val="edge"/>
          <c:yMode val="edge"/>
          <c:x val="5.6672514381298309E-3"/>
          <c:y val="0.73724780931813394"/>
          <c:w val="0.97312145567296315"/>
          <c:h val="0.226166807262726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 change 2011-2016</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222009167693379E-2"/>
          <c:y val="0.17706477518080996"/>
          <c:w val="0.8731842314498961"/>
          <c:h val="0.39265069807450537"/>
        </c:manualLayout>
      </c:layout>
      <c:barChart>
        <c:barDir val="bar"/>
        <c:grouping val="clustered"/>
        <c:varyColors val="0"/>
        <c:ser>
          <c:idx val="0"/>
          <c:order val="0"/>
          <c:tx>
            <c:strRef>
              <c:f>'3.8 East Arnhem'!$B$15</c:f>
              <c:strCache>
                <c:ptCount val="1"/>
                <c:pt idx="0">
                  <c:v>Population</c:v>
                </c:pt>
              </c:strCache>
            </c:strRef>
          </c:tx>
          <c:spPr>
            <a:solidFill>
              <a:schemeClr val="dk1">
                <a:tint val="88500"/>
              </a:schemeClr>
            </a:solidFill>
            <a:ln>
              <a:noFill/>
            </a:ln>
            <a:effectLst/>
          </c:spPr>
          <c:invertIfNegative val="0"/>
          <c:val>
            <c:numRef>
              <c:f>'3.8 East Arnhem'!$G$15</c:f>
              <c:numCache>
                <c:formatCode>0%</c:formatCode>
                <c:ptCount val="1"/>
                <c:pt idx="0">
                  <c:v>-7.9138272147724776E-3</c:v>
                </c:pt>
              </c:numCache>
            </c:numRef>
          </c:val>
          <c:extLst xmlns:c16r2="http://schemas.microsoft.com/office/drawing/2015/06/chart">
            <c:ext xmlns:c16="http://schemas.microsoft.com/office/drawing/2014/chart" uri="{C3380CC4-5D6E-409C-BE32-E72D297353CC}">
              <c16:uniqueId val="{00000000-A8DA-4128-A10F-C686D732D3F2}"/>
            </c:ext>
          </c:extLst>
        </c:ser>
        <c:ser>
          <c:idx val="1"/>
          <c:order val="1"/>
          <c:tx>
            <c:strRef>
              <c:f>'3.8 East Arnhem'!$B$17</c:f>
              <c:strCache>
                <c:ptCount val="1"/>
                <c:pt idx="0">
                  <c:v>Overseas born (a)</c:v>
                </c:pt>
              </c:strCache>
            </c:strRef>
          </c:tx>
          <c:spPr>
            <a:solidFill>
              <a:schemeClr val="dk1">
                <a:tint val="55000"/>
              </a:schemeClr>
            </a:solidFill>
            <a:ln>
              <a:noFill/>
            </a:ln>
            <a:effectLst/>
          </c:spPr>
          <c:invertIfNegative val="0"/>
          <c:val>
            <c:numRef>
              <c:f>'3.8 East Arnhem'!$G$17</c:f>
              <c:numCache>
                <c:formatCode>0%</c:formatCode>
                <c:ptCount val="1"/>
                <c:pt idx="0">
                  <c:v>9.615384615384615</c:v>
                </c:pt>
              </c:numCache>
            </c:numRef>
          </c:val>
          <c:extLst xmlns:c16r2="http://schemas.microsoft.com/office/drawing/2015/06/chart">
            <c:ext xmlns:c16="http://schemas.microsoft.com/office/drawing/2014/chart" uri="{C3380CC4-5D6E-409C-BE32-E72D297353CC}">
              <c16:uniqueId val="{00000001-A8DA-4128-A10F-C686D732D3F2}"/>
            </c:ext>
          </c:extLst>
        </c:ser>
        <c:ser>
          <c:idx val="2"/>
          <c:order val="2"/>
          <c:tx>
            <c:strRef>
              <c:f>'3.8 East Arnhem'!$B$16</c:f>
              <c:strCache>
                <c:ptCount val="1"/>
                <c:pt idx="0">
                  <c:v>Australian born</c:v>
                </c:pt>
              </c:strCache>
            </c:strRef>
          </c:tx>
          <c:spPr>
            <a:solidFill>
              <a:schemeClr val="dk1">
                <a:tint val="75000"/>
              </a:schemeClr>
            </a:solidFill>
            <a:ln>
              <a:noFill/>
            </a:ln>
            <a:effectLst/>
          </c:spPr>
          <c:invertIfNegative val="0"/>
          <c:dPt>
            <c:idx val="0"/>
            <c:invertIfNegative val="0"/>
            <c:bubble3D val="0"/>
            <c:spPr>
              <a:solidFill>
                <a:schemeClr val="bg1">
                  <a:lumMod val="85000"/>
                </a:schemeClr>
              </a:solidFill>
              <a:ln>
                <a:noFill/>
              </a:ln>
              <a:effectLst/>
            </c:spPr>
            <c:extLst xmlns:c16r2="http://schemas.microsoft.com/office/drawing/2015/06/chart">
              <c:ext xmlns:c16="http://schemas.microsoft.com/office/drawing/2014/chart" uri="{C3380CC4-5D6E-409C-BE32-E72D297353CC}">
                <c16:uniqueId val="{00000003-A8DA-4128-A10F-C686D732D3F2}"/>
              </c:ext>
            </c:extLst>
          </c:dPt>
          <c:val>
            <c:numRef>
              <c:f>'3.8 East Arnhem'!$G$16</c:f>
              <c:numCache>
                <c:formatCode>0%</c:formatCode>
                <c:ptCount val="1"/>
                <c:pt idx="0">
                  <c:v>-3.6283185840707964E-2</c:v>
                </c:pt>
              </c:numCache>
            </c:numRef>
          </c:val>
          <c:extLst xmlns:c16r2="http://schemas.microsoft.com/office/drawing/2015/06/chart">
            <c:ext xmlns:c16="http://schemas.microsoft.com/office/drawing/2014/chart" uri="{C3380CC4-5D6E-409C-BE32-E72D297353CC}">
              <c16:uniqueId val="{00000004-A8DA-4128-A10F-C686D732D3F2}"/>
            </c:ext>
          </c:extLst>
        </c:ser>
        <c:ser>
          <c:idx val="3"/>
          <c:order val="3"/>
          <c:tx>
            <c:strRef>
              <c:f>'3.8 East Arnhem'!$B$20</c:f>
              <c:strCache>
                <c:ptCount val="1"/>
                <c:pt idx="0">
                  <c:v>Overseas born - NMESC</c:v>
                </c:pt>
              </c:strCache>
            </c:strRef>
          </c:tx>
          <c:spPr>
            <a:solidFill>
              <a:schemeClr val="dk1">
                <a:tint val="98500"/>
              </a:schemeClr>
            </a:solidFill>
            <a:ln>
              <a:noFill/>
            </a:ln>
            <a:effectLst/>
          </c:spPr>
          <c:invertIfNegative val="0"/>
          <c:val>
            <c:numRef>
              <c:f>'3.8 East Arnhem'!$G$20</c:f>
              <c:numCache>
                <c:formatCode>0%</c:formatCode>
                <c:ptCount val="1"/>
                <c:pt idx="0">
                  <c:v>5.8888888888888893</c:v>
                </c:pt>
              </c:numCache>
            </c:numRef>
          </c:val>
          <c:extLst xmlns:c16r2="http://schemas.microsoft.com/office/drawing/2015/06/chart">
            <c:ext xmlns:c16="http://schemas.microsoft.com/office/drawing/2014/chart" uri="{C3380CC4-5D6E-409C-BE32-E72D297353CC}">
              <c16:uniqueId val="{00000005-A8DA-4128-A10F-C686D732D3F2}"/>
            </c:ext>
          </c:extLst>
        </c:ser>
        <c:dLbls>
          <c:showLegendKey val="0"/>
          <c:showVal val="0"/>
          <c:showCatName val="0"/>
          <c:showSerName val="0"/>
          <c:showPercent val="0"/>
          <c:showBubbleSize val="0"/>
        </c:dLbls>
        <c:gapWidth val="182"/>
        <c:axId val="320096160"/>
        <c:axId val="320096552"/>
      </c:barChart>
      <c:catAx>
        <c:axId val="320096160"/>
        <c:scaling>
          <c:orientation val="minMax"/>
        </c:scaling>
        <c:delete val="1"/>
        <c:axPos val="l"/>
        <c:majorTickMark val="none"/>
        <c:minorTickMark val="none"/>
        <c:tickLblPos val="nextTo"/>
        <c:crossAx val="320096552"/>
        <c:crosses val="autoZero"/>
        <c:auto val="1"/>
        <c:lblAlgn val="ctr"/>
        <c:lblOffset val="100"/>
        <c:noMultiLvlLbl val="0"/>
      </c:catAx>
      <c:valAx>
        <c:axId val="3200965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0096160"/>
        <c:crosses val="autoZero"/>
        <c:crossBetween val="between"/>
      </c:valAx>
      <c:spPr>
        <a:noFill/>
        <a:ln>
          <a:noFill/>
        </a:ln>
        <a:effectLst/>
      </c:spPr>
    </c:plotArea>
    <c:legend>
      <c:legendPos val="b"/>
      <c:layout>
        <c:manualLayout>
          <c:xMode val="edge"/>
          <c:yMode val="edge"/>
          <c:x val="2.2460806900058351E-2"/>
          <c:y val="0.79547541851386228"/>
          <c:w val="0.97519465587619847"/>
          <c:h val="0.204524581486137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3829604490624526"/>
          <c:y val="0.11261335705439227"/>
          <c:w val="0.64880659149503428"/>
          <c:h val="0.46749812678958497"/>
        </c:manualLayout>
      </c:layout>
      <c:barChart>
        <c:barDir val="bar"/>
        <c:grouping val="percentStacked"/>
        <c:varyColors val="0"/>
        <c:ser>
          <c:idx val="0"/>
          <c:order val="0"/>
          <c:tx>
            <c:strRef>
              <c:f>'3.8 East Arnhem'!$B$7</c:f>
              <c:strCache>
                <c:ptCount val="1"/>
                <c:pt idx="0">
                  <c:v>Australian born</c:v>
                </c:pt>
              </c:strCache>
            </c:strRef>
          </c:tx>
          <c:spPr>
            <a:solidFill>
              <a:schemeClr val="dk1">
                <a:tint val="88500"/>
              </a:schemeClr>
            </a:solidFill>
            <a:ln w="19050">
              <a:solidFill>
                <a:schemeClr val="lt1"/>
              </a:solidFill>
            </a:ln>
            <a:effectLst/>
          </c:spPr>
          <c:invertIfNegative val="0"/>
          <c:cat>
            <c:strRef>
              <c:f>'3.8 East Arnhem'!$C$6</c:f>
              <c:strCache>
                <c:ptCount val="1"/>
                <c:pt idx="0">
                  <c:v>% of population</c:v>
                </c:pt>
              </c:strCache>
            </c:strRef>
          </c:cat>
          <c:val>
            <c:numRef>
              <c:f>'3.8 East Arnhem'!$C$7</c:f>
              <c:numCache>
                <c:formatCode>0%</c:formatCode>
                <c:ptCount val="1"/>
                <c:pt idx="0">
                  <c:v>0.96521161090183916</c:v>
                </c:pt>
              </c:numCache>
            </c:numRef>
          </c:val>
          <c:extLst xmlns:c16r2="http://schemas.microsoft.com/office/drawing/2015/06/chart">
            <c:ext xmlns:c16="http://schemas.microsoft.com/office/drawing/2014/chart" uri="{C3380CC4-5D6E-409C-BE32-E72D297353CC}">
              <c16:uniqueId val="{00000000-477E-2942-881F-392B840E46D3}"/>
            </c:ext>
          </c:extLst>
        </c:ser>
        <c:ser>
          <c:idx val="1"/>
          <c:order val="1"/>
          <c:tx>
            <c:strRef>
              <c:f>'3.8 East Arnhem'!$B$8</c:f>
              <c:strCache>
                <c:ptCount val="1"/>
                <c:pt idx="0">
                  <c:v>Birthplace not stated</c:v>
                </c:pt>
              </c:strCache>
            </c:strRef>
          </c:tx>
          <c:spPr>
            <a:solidFill>
              <a:schemeClr val="dk1">
                <a:tint val="55000"/>
              </a:schemeClr>
            </a:solidFill>
            <a:ln w="19050">
              <a:solidFill>
                <a:schemeClr val="lt1"/>
              </a:solidFill>
            </a:ln>
            <a:effectLst/>
          </c:spPr>
          <c:invertIfNegative val="0"/>
          <c:cat>
            <c:strRef>
              <c:f>'3.8 East Arnhem'!$C$6</c:f>
              <c:strCache>
                <c:ptCount val="1"/>
                <c:pt idx="0">
                  <c:v>% of population</c:v>
                </c:pt>
              </c:strCache>
            </c:strRef>
          </c:cat>
          <c:val>
            <c:numRef>
              <c:f>'3.8 East Arnhem'!$C$8</c:f>
              <c:numCache>
                <c:formatCode>0%</c:formatCode>
                <c:ptCount val="1"/>
                <c:pt idx="0">
                  <c:v>1.9610015510746731E-2</c:v>
                </c:pt>
              </c:numCache>
            </c:numRef>
          </c:val>
          <c:extLst xmlns:c16r2="http://schemas.microsoft.com/office/drawing/2015/06/chart">
            <c:ext xmlns:c16="http://schemas.microsoft.com/office/drawing/2014/chart" uri="{C3380CC4-5D6E-409C-BE32-E72D297353CC}">
              <c16:uniqueId val="{00000001-477E-2942-881F-392B840E46D3}"/>
            </c:ext>
          </c:extLst>
        </c:ser>
        <c:ser>
          <c:idx val="2"/>
          <c:order val="2"/>
          <c:tx>
            <c:v>Overseas born - MESC</c:v>
          </c:tx>
          <c:spPr>
            <a:solidFill>
              <a:schemeClr val="dk1">
                <a:tint val="75000"/>
              </a:schemeClr>
            </a:solidFill>
            <a:ln w="19050">
              <a:solidFill>
                <a:schemeClr val="lt1"/>
              </a:solidFill>
            </a:ln>
            <a:effectLst/>
          </c:spPr>
          <c:invertIfNegative val="0"/>
          <c:cat>
            <c:strRef>
              <c:f>'3.8 East Arnhem'!$C$6</c:f>
              <c:strCache>
                <c:ptCount val="1"/>
                <c:pt idx="0">
                  <c:v>% of population</c:v>
                </c:pt>
              </c:strCache>
            </c:strRef>
          </c:cat>
          <c:val>
            <c:numRef>
              <c:f>'3.8 East Arnhem'!$C$9</c:f>
              <c:numCache>
                <c:formatCode>0%</c:formatCode>
                <c:ptCount val="1"/>
                <c:pt idx="0">
                  <c:v>8.7524927985818748E-3</c:v>
                </c:pt>
              </c:numCache>
            </c:numRef>
          </c:val>
          <c:extLst xmlns:c16r2="http://schemas.microsoft.com/office/drawing/2015/06/chart">
            <c:ext xmlns:c16="http://schemas.microsoft.com/office/drawing/2014/chart" uri="{C3380CC4-5D6E-409C-BE32-E72D297353CC}">
              <c16:uniqueId val="{00000002-477E-2942-881F-392B840E46D3}"/>
            </c:ext>
          </c:extLst>
        </c:ser>
        <c:ser>
          <c:idx val="3"/>
          <c:order val="3"/>
          <c:tx>
            <c:strRef>
              <c:f>'3.8 East Arnhem'!$B$11</c:f>
              <c:strCache>
                <c:ptCount val="1"/>
                <c:pt idx="0">
                  <c:v>Overseas born - NMESC</c:v>
                </c:pt>
              </c:strCache>
            </c:strRef>
          </c:tx>
          <c:spPr>
            <a:solidFill>
              <a:schemeClr val="dk1">
                <a:tint val="98500"/>
              </a:schemeClr>
            </a:solidFill>
            <a:ln w="19050">
              <a:solidFill>
                <a:schemeClr val="lt1"/>
              </a:solidFill>
            </a:ln>
            <a:effectLst/>
          </c:spPr>
          <c:invertIfNegative val="0"/>
          <c:cat>
            <c:strRef>
              <c:f>'3.8 East Arnhem'!$C$6</c:f>
              <c:strCache>
                <c:ptCount val="1"/>
                <c:pt idx="0">
                  <c:v>% of population</c:v>
                </c:pt>
              </c:strCache>
            </c:strRef>
          </c:cat>
          <c:val>
            <c:numRef>
              <c:f>'3.8 East Arnhem'!$C$11</c:f>
              <c:numCache>
                <c:formatCode>0%</c:formatCode>
                <c:ptCount val="1"/>
                <c:pt idx="0">
                  <c:v>6.8690449811655216E-3</c:v>
                </c:pt>
              </c:numCache>
            </c:numRef>
          </c:val>
          <c:extLst xmlns:c16r2="http://schemas.microsoft.com/office/drawing/2015/06/chart">
            <c:ext xmlns:c16="http://schemas.microsoft.com/office/drawing/2014/chart" uri="{C3380CC4-5D6E-409C-BE32-E72D297353CC}">
              <c16:uniqueId val="{00000003-477E-2942-881F-392B840E46D3}"/>
            </c:ext>
          </c:extLst>
        </c:ser>
        <c:dLbls>
          <c:showLegendKey val="0"/>
          <c:showVal val="0"/>
          <c:showCatName val="0"/>
          <c:showSerName val="0"/>
          <c:showPercent val="0"/>
          <c:showBubbleSize val="0"/>
        </c:dLbls>
        <c:gapWidth val="52"/>
        <c:overlap val="100"/>
        <c:axId val="320980512"/>
        <c:axId val="320980120"/>
      </c:barChart>
      <c:valAx>
        <c:axId val="320980120"/>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0980512"/>
        <c:crosses val="autoZero"/>
        <c:crossBetween val="between"/>
        <c:minorUnit val="0.25"/>
      </c:valAx>
      <c:catAx>
        <c:axId val="320980512"/>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20980120"/>
        <c:crosses val="autoZero"/>
        <c:auto val="1"/>
        <c:lblAlgn val="ctr"/>
        <c:lblOffset val="100"/>
        <c:noMultiLvlLbl val="0"/>
      </c:catAx>
      <c:spPr>
        <a:noFill/>
        <a:ln>
          <a:noFill/>
        </a:ln>
        <a:effectLst/>
      </c:spPr>
    </c:plotArea>
    <c:legend>
      <c:legendPos val="b"/>
      <c:layout>
        <c:manualLayout>
          <c:xMode val="edge"/>
          <c:yMode val="edge"/>
          <c:x val="5.6672514381298309E-3"/>
          <c:y val="0.73724780931813394"/>
          <c:w val="0.97312145567296315"/>
          <c:h val="0.226166807262726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 change 2011-2016</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222009167693379E-2"/>
          <c:y val="0.17706477518080996"/>
          <c:w val="0.8731842314498961"/>
          <c:h val="0.41783836460582885"/>
        </c:manualLayout>
      </c:layout>
      <c:barChart>
        <c:barDir val="bar"/>
        <c:grouping val="clustered"/>
        <c:varyColors val="0"/>
        <c:ser>
          <c:idx val="0"/>
          <c:order val="0"/>
          <c:tx>
            <c:strRef>
              <c:f>'3.9 Katherine'!$B$15</c:f>
              <c:strCache>
                <c:ptCount val="1"/>
                <c:pt idx="0">
                  <c:v>Population</c:v>
                </c:pt>
              </c:strCache>
            </c:strRef>
          </c:tx>
          <c:spPr>
            <a:solidFill>
              <a:schemeClr val="dk1">
                <a:tint val="88500"/>
              </a:schemeClr>
            </a:solidFill>
            <a:ln>
              <a:noFill/>
            </a:ln>
            <a:effectLst/>
          </c:spPr>
          <c:invertIfNegative val="0"/>
          <c:val>
            <c:numRef>
              <c:f>'3.9 Katherine'!$G$15</c:f>
              <c:numCache>
                <c:formatCode>0%</c:formatCode>
                <c:ptCount val="1"/>
                <c:pt idx="0">
                  <c:v>5.8023078597866318E-2</c:v>
                </c:pt>
              </c:numCache>
            </c:numRef>
          </c:val>
          <c:extLst xmlns:c16r2="http://schemas.microsoft.com/office/drawing/2015/06/chart">
            <c:ext xmlns:c16="http://schemas.microsoft.com/office/drawing/2014/chart" uri="{C3380CC4-5D6E-409C-BE32-E72D297353CC}">
              <c16:uniqueId val="{00000000-CEF1-40B8-AFD2-38E9566793F8}"/>
            </c:ext>
          </c:extLst>
        </c:ser>
        <c:ser>
          <c:idx val="1"/>
          <c:order val="1"/>
          <c:tx>
            <c:strRef>
              <c:f>'3.9 Katherine'!$B$17</c:f>
              <c:strCache>
                <c:ptCount val="1"/>
                <c:pt idx="0">
                  <c:v>Overseas born (a)</c:v>
                </c:pt>
              </c:strCache>
            </c:strRef>
          </c:tx>
          <c:spPr>
            <a:solidFill>
              <a:schemeClr val="dk1">
                <a:tint val="55000"/>
              </a:schemeClr>
            </a:solidFill>
            <a:ln>
              <a:noFill/>
            </a:ln>
            <a:effectLst/>
          </c:spPr>
          <c:invertIfNegative val="0"/>
          <c:val>
            <c:numRef>
              <c:f>'3.9 Katherine'!$G$17</c:f>
              <c:numCache>
                <c:formatCode>0%</c:formatCode>
                <c:ptCount val="1"/>
                <c:pt idx="0">
                  <c:v>0.17307692307692307</c:v>
                </c:pt>
              </c:numCache>
            </c:numRef>
          </c:val>
          <c:extLst xmlns:c16r2="http://schemas.microsoft.com/office/drawing/2015/06/chart">
            <c:ext xmlns:c16="http://schemas.microsoft.com/office/drawing/2014/chart" uri="{C3380CC4-5D6E-409C-BE32-E72D297353CC}">
              <c16:uniqueId val="{00000001-CEF1-40B8-AFD2-38E9566793F8}"/>
            </c:ext>
          </c:extLst>
        </c:ser>
        <c:ser>
          <c:idx val="2"/>
          <c:order val="2"/>
          <c:tx>
            <c:strRef>
              <c:f>'3.9 Katherine'!$B$16</c:f>
              <c:strCache>
                <c:ptCount val="1"/>
                <c:pt idx="0">
                  <c:v>Australian born</c:v>
                </c:pt>
              </c:strCache>
            </c:strRef>
          </c:tx>
          <c:spPr>
            <a:solidFill>
              <a:schemeClr val="dk1">
                <a:tint val="75000"/>
              </a:schemeClr>
            </a:solidFill>
            <a:ln>
              <a:noFill/>
            </a:ln>
            <a:effectLst/>
          </c:spPr>
          <c:invertIfNegative val="0"/>
          <c:dPt>
            <c:idx val="0"/>
            <c:invertIfNegative val="0"/>
            <c:bubble3D val="0"/>
            <c:spPr>
              <a:solidFill>
                <a:schemeClr val="bg1">
                  <a:lumMod val="85000"/>
                </a:schemeClr>
              </a:solidFill>
              <a:ln>
                <a:noFill/>
              </a:ln>
              <a:effectLst/>
            </c:spPr>
            <c:extLst xmlns:c16r2="http://schemas.microsoft.com/office/drawing/2015/06/chart">
              <c:ext xmlns:c16="http://schemas.microsoft.com/office/drawing/2014/chart" uri="{C3380CC4-5D6E-409C-BE32-E72D297353CC}">
                <c16:uniqueId val="{00000003-CEF1-40B8-AFD2-38E9566793F8}"/>
              </c:ext>
            </c:extLst>
          </c:dPt>
          <c:val>
            <c:numRef>
              <c:f>'3.9 Katherine'!$G$16</c:f>
              <c:numCache>
                <c:formatCode>0%</c:formatCode>
                <c:ptCount val="1"/>
                <c:pt idx="0">
                  <c:v>-9.7544244752366574E-2</c:v>
                </c:pt>
              </c:numCache>
            </c:numRef>
          </c:val>
          <c:extLst xmlns:c16r2="http://schemas.microsoft.com/office/drawing/2015/06/chart">
            <c:ext xmlns:c16="http://schemas.microsoft.com/office/drawing/2014/chart" uri="{C3380CC4-5D6E-409C-BE32-E72D297353CC}">
              <c16:uniqueId val="{00000004-CEF1-40B8-AFD2-38E9566793F8}"/>
            </c:ext>
          </c:extLst>
        </c:ser>
        <c:ser>
          <c:idx val="3"/>
          <c:order val="3"/>
          <c:tx>
            <c:strRef>
              <c:f>'3.9 Katherine'!$B$20</c:f>
              <c:strCache>
                <c:ptCount val="1"/>
                <c:pt idx="0">
                  <c:v>Overseas born - NMESC</c:v>
                </c:pt>
              </c:strCache>
            </c:strRef>
          </c:tx>
          <c:spPr>
            <a:solidFill>
              <a:schemeClr val="dk1">
                <a:tint val="98500"/>
              </a:schemeClr>
            </a:solidFill>
            <a:ln>
              <a:noFill/>
            </a:ln>
            <a:effectLst/>
          </c:spPr>
          <c:invertIfNegative val="0"/>
          <c:val>
            <c:numRef>
              <c:f>'3.9 Katherine'!$G$20</c:f>
              <c:numCache>
                <c:formatCode>0%</c:formatCode>
                <c:ptCount val="1"/>
                <c:pt idx="0">
                  <c:v>0.39489194499017682</c:v>
                </c:pt>
              </c:numCache>
            </c:numRef>
          </c:val>
          <c:extLst xmlns:c16r2="http://schemas.microsoft.com/office/drawing/2015/06/chart">
            <c:ext xmlns:c16="http://schemas.microsoft.com/office/drawing/2014/chart" uri="{C3380CC4-5D6E-409C-BE32-E72D297353CC}">
              <c16:uniqueId val="{00000005-CEF1-40B8-AFD2-38E9566793F8}"/>
            </c:ext>
          </c:extLst>
        </c:ser>
        <c:dLbls>
          <c:showLegendKey val="0"/>
          <c:showVal val="0"/>
          <c:showCatName val="0"/>
          <c:showSerName val="0"/>
          <c:showPercent val="0"/>
          <c:showBubbleSize val="0"/>
        </c:dLbls>
        <c:gapWidth val="182"/>
        <c:axId val="320981688"/>
        <c:axId val="320982080"/>
      </c:barChart>
      <c:catAx>
        <c:axId val="320981688"/>
        <c:scaling>
          <c:orientation val="minMax"/>
        </c:scaling>
        <c:delete val="1"/>
        <c:axPos val="l"/>
        <c:majorTickMark val="none"/>
        <c:minorTickMark val="none"/>
        <c:tickLblPos val="nextTo"/>
        <c:crossAx val="320982080"/>
        <c:crosses val="autoZero"/>
        <c:auto val="1"/>
        <c:lblAlgn val="ctr"/>
        <c:lblOffset val="100"/>
        <c:noMultiLvlLbl val="0"/>
      </c:catAx>
      <c:valAx>
        <c:axId val="32098208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0981688"/>
        <c:crosses val="autoZero"/>
        <c:crossBetween val="between"/>
      </c:valAx>
      <c:spPr>
        <a:noFill/>
        <a:ln>
          <a:noFill/>
        </a:ln>
        <a:effectLst/>
      </c:spPr>
    </c:plotArea>
    <c:legend>
      <c:legendPos val="b"/>
      <c:layout>
        <c:manualLayout>
          <c:xMode val="edge"/>
          <c:yMode val="edge"/>
          <c:x val="2.2460806900058351E-2"/>
          <c:y val="0.77867785600131345"/>
          <c:w val="0.97519465587619847"/>
          <c:h val="0.221322143998686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3829604490624526"/>
          <c:y val="0.11261335705439227"/>
          <c:w val="0.64880659149503428"/>
          <c:h val="0.46749812678958497"/>
        </c:manualLayout>
      </c:layout>
      <c:barChart>
        <c:barDir val="bar"/>
        <c:grouping val="percentStacked"/>
        <c:varyColors val="0"/>
        <c:ser>
          <c:idx val="0"/>
          <c:order val="0"/>
          <c:tx>
            <c:strRef>
              <c:f>'3.9 Katherine'!$B$7</c:f>
              <c:strCache>
                <c:ptCount val="1"/>
                <c:pt idx="0">
                  <c:v>Australian born</c:v>
                </c:pt>
              </c:strCache>
            </c:strRef>
          </c:tx>
          <c:spPr>
            <a:solidFill>
              <a:schemeClr val="dk1">
                <a:tint val="88500"/>
              </a:schemeClr>
            </a:solidFill>
            <a:ln w="19050">
              <a:solidFill>
                <a:schemeClr val="lt1"/>
              </a:solidFill>
            </a:ln>
            <a:effectLst/>
          </c:spPr>
          <c:invertIfNegative val="0"/>
          <c:cat>
            <c:strRef>
              <c:f>'3.9 Katherine'!$C$6</c:f>
              <c:strCache>
                <c:ptCount val="1"/>
                <c:pt idx="0">
                  <c:v>% of population</c:v>
                </c:pt>
              </c:strCache>
            </c:strRef>
          </c:cat>
          <c:val>
            <c:numRef>
              <c:f>'3.9 Katherine'!$C$7</c:f>
              <c:numCache>
                <c:formatCode>0%</c:formatCode>
                <c:ptCount val="1"/>
                <c:pt idx="0">
                  <c:v>0.67681860273690708</c:v>
                </c:pt>
              </c:numCache>
            </c:numRef>
          </c:val>
          <c:extLst xmlns:c16r2="http://schemas.microsoft.com/office/drawing/2015/06/chart">
            <c:ext xmlns:c16="http://schemas.microsoft.com/office/drawing/2014/chart" uri="{C3380CC4-5D6E-409C-BE32-E72D297353CC}">
              <c16:uniqueId val="{00000000-7FB4-47F2-A751-FE60E8425A22}"/>
            </c:ext>
          </c:extLst>
        </c:ser>
        <c:ser>
          <c:idx val="1"/>
          <c:order val="1"/>
          <c:tx>
            <c:strRef>
              <c:f>'3.9 Katherine'!$B$8</c:f>
              <c:strCache>
                <c:ptCount val="1"/>
                <c:pt idx="0">
                  <c:v>Birthplace not stated</c:v>
                </c:pt>
              </c:strCache>
            </c:strRef>
          </c:tx>
          <c:spPr>
            <a:solidFill>
              <a:schemeClr val="dk1">
                <a:tint val="55000"/>
              </a:schemeClr>
            </a:solidFill>
            <a:ln w="19050">
              <a:solidFill>
                <a:schemeClr val="lt1"/>
              </a:solidFill>
            </a:ln>
            <a:effectLst/>
          </c:spPr>
          <c:invertIfNegative val="0"/>
          <c:cat>
            <c:strRef>
              <c:f>'3.9 Katherine'!$C$6</c:f>
              <c:strCache>
                <c:ptCount val="1"/>
                <c:pt idx="0">
                  <c:v>% of population</c:v>
                </c:pt>
              </c:strCache>
            </c:strRef>
          </c:cat>
          <c:val>
            <c:numRef>
              <c:f>'3.9 Katherine'!$C$8</c:f>
              <c:numCache>
                <c:formatCode>0%</c:formatCode>
                <c:ptCount val="1"/>
                <c:pt idx="0">
                  <c:v>0.2041362280069966</c:v>
                </c:pt>
              </c:numCache>
            </c:numRef>
          </c:val>
          <c:extLst xmlns:c16r2="http://schemas.microsoft.com/office/drawing/2015/06/chart">
            <c:ext xmlns:c16="http://schemas.microsoft.com/office/drawing/2014/chart" uri="{C3380CC4-5D6E-409C-BE32-E72D297353CC}">
              <c16:uniqueId val="{00000001-7FB4-47F2-A751-FE60E8425A22}"/>
            </c:ext>
          </c:extLst>
        </c:ser>
        <c:ser>
          <c:idx val="2"/>
          <c:order val="2"/>
          <c:tx>
            <c:v>Overseas born - MESC</c:v>
          </c:tx>
          <c:spPr>
            <a:solidFill>
              <a:schemeClr val="dk1">
                <a:tint val="75000"/>
              </a:schemeClr>
            </a:solidFill>
            <a:ln w="19050">
              <a:solidFill>
                <a:schemeClr val="lt1"/>
              </a:solidFill>
            </a:ln>
            <a:effectLst/>
          </c:spPr>
          <c:invertIfNegative val="0"/>
          <c:cat>
            <c:strRef>
              <c:f>'3.9 Katherine'!$C$6</c:f>
              <c:strCache>
                <c:ptCount val="1"/>
                <c:pt idx="0">
                  <c:v>% of population</c:v>
                </c:pt>
              </c:strCache>
            </c:strRef>
          </c:cat>
          <c:val>
            <c:numRef>
              <c:f>'3.9 Katherine'!$C$9</c:f>
              <c:numCache>
                <c:formatCode>0%</c:formatCode>
                <c:ptCount val="1"/>
                <c:pt idx="0">
                  <c:v>4.5580821072126763E-2</c:v>
                </c:pt>
              </c:numCache>
            </c:numRef>
          </c:val>
          <c:extLst xmlns:c16r2="http://schemas.microsoft.com/office/drawing/2015/06/chart">
            <c:ext xmlns:c16="http://schemas.microsoft.com/office/drawing/2014/chart" uri="{C3380CC4-5D6E-409C-BE32-E72D297353CC}">
              <c16:uniqueId val="{00000002-7FB4-47F2-A751-FE60E8425A22}"/>
            </c:ext>
          </c:extLst>
        </c:ser>
        <c:ser>
          <c:idx val="3"/>
          <c:order val="3"/>
          <c:tx>
            <c:strRef>
              <c:f>'3.9 Katherine'!$B$11</c:f>
              <c:strCache>
                <c:ptCount val="1"/>
                <c:pt idx="0">
                  <c:v>Overseas born - NMESC</c:v>
                </c:pt>
              </c:strCache>
            </c:strRef>
          </c:tx>
          <c:spPr>
            <a:solidFill>
              <a:schemeClr val="dk1">
                <a:tint val="98500"/>
              </a:schemeClr>
            </a:solidFill>
            <a:ln w="19050">
              <a:solidFill>
                <a:schemeClr val="lt1"/>
              </a:solidFill>
            </a:ln>
            <a:effectLst/>
          </c:spPr>
          <c:invertIfNegative val="0"/>
          <c:cat>
            <c:strRef>
              <c:f>'3.9 Katherine'!$C$6</c:f>
              <c:strCache>
                <c:ptCount val="1"/>
                <c:pt idx="0">
                  <c:v>% of population</c:v>
                </c:pt>
              </c:strCache>
            </c:strRef>
          </c:cat>
          <c:val>
            <c:numRef>
              <c:f>'3.9 Katherine'!$C$11</c:f>
              <c:numCache>
                <c:formatCode>0%</c:formatCode>
                <c:ptCount val="1"/>
                <c:pt idx="0">
                  <c:v>7.305278320814898E-2</c:v>
                </c:pt>
              </c:numCache>
            </c:numRef>
          </c:val>
          <c:extLst xmlns:c16r2="http://schemas.microsoft.com/office/drawing/2015/06/chart">
            <c:ext xmlns:c16="http://schemas.microsoft.com/office/drawing/2014/chart" uri="{C3380CC4-5D6E-409C-BE32-E72D297353CC}">
              <c16:uniqueId val="{00000003-7FB4-47F2-A751-FE60E8425A22}"/>
            </c:ext>
          </c:extLst>
        </c:ser>
        <c:dLbls>
          <c:showLegendKey val="0"/>
          <c:showVal val="0"/>
          <c:showCatName val="0"/>
          <c:showSerName val="0"/>
          <c:showPercent val="0"/>
          <c:showBubbleSize val="0"/>
        </c:dLbls>
        <c:gapWidth val="52"/>
        <c:overlap val="100"/>
        <c:axId val="320983256"/>
        <c:axId val="320982864"/>
      </c:barChart>
      <c:valAx>
        <c:axId val="32098286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0983256"/>
        <c:crosses val="autoZero"/>
        <c:crossBetween val="between"/>
        <c:minorUnit val="0.25"/>
      </c:valAx>
      <c:catAx>
        <c:axId val="32098325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20982864"/>
        <c:crosses val="autoZero"/>
        <c:auto val="1"/>
        <c:lblAlgn val="ctr"/>
        <c:lblOffset val="100"/>
        <c:noMultiLvlLbl val="0"/>
      </c:catAx>
      <c:spPr>
        <a:noFill/>
        <a:ln>
          <a:noFill/>
        </a:ln>
        <a:effectLst/>
      </c:spPr>
    </c:plotArea>
    <c:legend>
      <c:legendPos val="b"/>
      <c:layout>
        <c:manualLayout>
          <c:xMode val="edge"/>
          <c:yMode val="edge"/>
          <c:x val="5.6672514381298309E-3"/>
          <c:y val="0.73724780931813394"/>
          <c:w val="0.97312145567296315"/>
          <c:h val="0.226166807262726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 change 2011-2016</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222009167693379E-2"/>
          <c:y val="0.17706477518080996"/>
          <c:w val="0.8731842314498961"/>
          <c:h val="0.4014629235868174"/>
        </c:manualLayout>
      </c:layout>
      <c:barChart>
        <c:barDir val="bar"/>
        <c:grouping val="clustered"/>
        <c:varyColors val="0"/>
        <c:ser>
          <c:idx val="0"/>
          <c:order val="0"/>
          <c:tx>
            <c:strRef>
              <c:f>'3.11 MacDonnell'!$B$15</c:f>
              <c:strCache>
                <c:ptCount val="1"/>
                <c:pt idx="0">
                  <c:v>Population</c:v>
                </c:pt>
              </c:strCache>
            </c:strRef>
          </c:tx>
          <c:spPr>
            <a:solidFill>
              <a:schemeClr val="dk1">
                <a:tint val="88500"/>
              </a:schemeClr>
            </a:solidFill>
            <a:ln>
              <a:noFill/>
            </a:ln>
            <a:effectLst/>
          </c:spPr>
          <c:invertIfNegative val="0"/>
          <c:val>
            <c:numRef>
              <c:f>'3.11 MacDonnell'!$G$15</c:f>
              <c:numCache>
                <c:formatCode>0%</c:formatCode>
                <c:ptCount val="1"/>
                <c:pt idx="0">
                  <c:v>3.4654314633727909E-2</c:v>
                </c:pt>
              </c:numCache>
            </c:numRef>
          </c:val>
          <c:extLst xmlns:c16r2="http://schemas.microsoft.com/office/drawing/2015/06/chart">
            <c:ext xmlns:c16="http://schemas.microsoft.com/office/drawing/2014/chart" uri="{C3380CC4-5D6E-409C-BE32-E72D297353CC}">
              <c16:uniqueId val="{00000000-4233-4F6A-827B-F8E6E3AAA288}"/>
            </c:ext>
          </c:extLst>
        </c:ser>
        <c:ser>
          <c:idx val="1"/>
          <c:order val="1"/>
          <c:tx>
            <c:strRef>
              <c:f>'3.11 MacDonnell'!$B$17</c:f>
              <c:strCache>
                <c:ptCount val="1"/>
                <c:pt idx="0">
                  <c:v>Overseas born (a)</c:v>
                </c:pt>
              </c:strCache>
            </c:strRef>
          </c:tx>
          <c:spPr>
            <a:solidFill>
              <a:schemeClr val="dk1">
                <a:tint val="55000"/>
              </a:schemeClr>
            </a:solidFill>
            <a:ln>
              <a:noFill/>
            </a:ln>
            <a:effectLst/>
          </c:spPr>
          <c:invertIfNegative val="0"/>
          <c:val>
            <c:numRef>
              <c:f>'3.11 MacDonnell'!$G$17</c:f>
              <c:numCache>
                <c:formatCode>0%</c:formatCode>
                <c:ptCount val="1"/>
                <c:pt idx="0">
                  <c:v>0.898876404494382</c:v>
                </c:pt>
              </c:numCache>
            </c:numRef>
          </c:val>
          <c:extLst xmlns:c16r2="http://schemas.microsoft.com/office/drawing/2015/06/chart">
            <c:ext xmlns:c16="http://schemas.microsoft.com/office/drawing/2014/chart" uri="{C3380CC4-5D6E-409C-BE32-E72D297353CC}">
              <c16:uniqueId val="{00000001-4233-4F6A-827B-F8E6E3AAA288}"/>
            </c:ext>
          </c:extLst>
        </c:ser>
        <c:ser>
          <c:idx val="2"/>
          <c:order val="2"/>
          <c:tx>
            <c:strRef>
              <c:f>'3.11 MacDonnell'!$B$16</c:f>
              <c:strCache>
                <c:ptCount val="1"/>
                <c:pt idx="0">
                  <c:v>Australian born</c:v>
                </c:pt>
              </c:strCache>
            </c:strRef>
          </c:tx>
          <c:spPr>
            <a:solidFill>
              <a:schemeClr val="dk1">
                <a:tint val="75000"/>
              </a:schemeClr>
            </a:solidFill>
            <a:ln>
              <a:noFill/>
            </a:ln>
            <a:effectLst/>
          </c:spPr>
          <c:invertIfNegative val="0"/>
          <c:dPt>
            <c:idx val="0"/>
            <c:invertIfNegative val="0"/>
            <c:bubble3D val="0"/>
            <c:spPr>
              <a:solidFill>
                <a:schemeClr val="bg1">
                  <a:lumMod val="85000"/>
                </a:schemeClr>
              </a:solidFill>
              <a:ln>
                <a:noFill/>
              </a:ln>
              <a:effectLst/>
            </c:spPr>
            <c:extLst xmlns:c16r2="http://schemas.microsoft.com/office/drawing/2015/06/chart">
              <c:ext xmlns:c16="http://schemas.microsoft.com/office/drawing/2014/chart" uri="{C3380CC4-5D6E-409C-BE32-E72D297353CC}">
                <c16:uniqueId val="{00000003-4233-4F6A-827B-F8E6E3AAA288}"/>
              </c:ext>
            </c:extLst>
          </c:dPt>
          <c:val>
            <c:numRef>
              <c:f>'3.11 MacDonnell'!$G$16</c:f>
              <c:numCache>
                <c:formatCode>0%</c:formatCode>
                <c:ptCount val="1"/>
                <c:pt idx="0">
                  <c:v>-2.3009167715261548E-2</c:v>
                </c:pt>
              </c:numCache>
            </c:numRef>
          </c:val>
          <c:extLst xmlns:c16r2="http://schemas.microsoft.com/office/drawing/2015/06/chart">
            <c:ext xmlns:c16="http://schemas.microsoft.com/office/drawing/2014/chart" uri="{C3380CC4-5D6E-409C-BE32-E72D297353CC}">
              <c16:uniqueId val="{00000004-4233-4F6A-827B-F8E6E3AAA288}"/>
            </c:ext>
          </c:extLst>
        </c:ser>
        <c:ser>
          <c:idx val="3"/>
          <c:order val="3"/>
          <c:tx>
            <c:strRef>
              <c:f>'3.11 MacDonnell'!$B$20</c:f>
              <c:strCache>
                <c:ptCount val="1"/>
                <c:pt idx="0">
                  <c:v>Overseas born - NMESC</c:v>
                </c:pt>
              </c:strCache>
            </c:strRef>
          </c:tx>
          <c:spPr>
            <a:solidFill>
              <a:schemeClr val="dk1">
                <a:tint val="98500"/>
              </a:schemeClr>
            </a:solidFill>
            <a:ln>
              <a:noFill/>
            </a:ln>
            <a:effectLst/>
          </c:spPr>
          <c:invertIfNegative val="0"/>
          <c:val>
            <c:numRef>
              <c:f>'3.11 MacDonnell'!$G$20</c:f>
              <c:numCache>
                <c:formatCode>0%</c:formatCode>
                <c:ptCount val="1"/>
                <c:pt idx="0">
                  <c:v>1.3055555555555556</c:v>
                </c:pt>
              </c:numCache>
            </c:numRef>
          </c:val>
          <c:extLst xmlns:c16r2="http://schemas.microsoft.com/office/drawing/2015/06/chart">
            <c:ext xmlns:c16="http://schemas.microsoft.com/office/drawing/2014/chart" uri="{C3380CC4-5D6E-409C-BE32-E72D297353CC}">
              <c16:uniqueId val="{00000005-4233-4F6A-827B-F8E6E3AAA288}"/>
            </c:ext>
          </c:extLst>
        </c:ser>
        <c:dLbls>
          <c:showLegendKey val="0"/>
          <c:showVal val="0"/>
          <c:showCatName val="0"/>
          <c:showSerName val="0"/>
          <c:showPercent val="0"/>
          <c:showBubbleSize val="0"/>
        </c:dLbls>
        <c:gapWidth val="182"/>
        <c:axId val="322554264"/>
        <c:axId val="322554656"/>
      </c:barChart>
      <c:catAx>
        <c:axId val="322554264"/>
        <c:scaling>
          <c:orientation val="minMax"/>
        </c:scaling>
        <c:delete val="1"/>
        <c:axPos val="l"/>
        <c:majorTickMark val="none"/>
        <c:minorTickMark val="none"/>
        <c:tickLblPos val="nextTo"/>
        <c:crossAx val="322554656"/>
        <c:crosses val="autoZero"/>
        <c:auto val="1"/>
        <c:lblAlgn val="ctr"/>
        <c:lblOffset val="100"/>
        <c:noMultiLvlLbl val="0"/>
      </c:catAx>
      <c:valAx>
        <c:axId val="32255465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2554264"/>
        <c:crosses val="autoZero"/>
        <c:crossBetween val="between"/>
      </c:valAx>
      <c:spPr>
        <a:noFill/>
        <a:ln>
          <a:noFill/>
        </a:ln>
        <a:effectLst/>
      </c:spPr>
    </c:plotArea>
    <c:legend>
      <c:legendPos val="b"/>
      <c:layout>
        <c:manualLayout>
          <c:xMode val="edge"/>
          <c:yMode val="edge"/>
          <c:x val="2.2460806900058351E-2"/>
          <c:y val="0.76186185587561039"/>
          <c:w val="0.97519465587619847"/>
          <c:h val="0.200163460580085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3829604490624526"/>
          <c:y val="0.11261335705439227"/>
          <c:w val="0.64880659149503428"/>
          <c:h val="0.46749812678958497"/>
        </c:manualLayout>
      </c:layout>
      <c:barChart>
        <c:barDir val="bar"/>
        <c:grouping val="percentStacked"/>
        <c:varyColors val="0"/>
        <c:ser>
          <c:idx val="0"/>
          <c:order val="0"/>
          <c:tx>
            <c:strRef>
              <c:f>'3.11 MacDonnell'!$B$7</c:f>
              <c:strCache>
                <c:ptCount val="1"/>
                <c:pt idx="0">
                  <c:v>Australian born</c:v>
                </c:pt>
              </c:strCache>
            </c:strRef>
          </c:tx>
          <c:spPr>
            <a:solidFill>
              <a:schemeClr val="dk1">
                <a:tint val="88500"/>
              </a:schemeClr>
            </a:solidFill>
            <a:ln w="19050">
              <a:solidFill>
                <a:schemeClr val="lt1"/>
              </a:solidFill>
            </a:ln>
            <a:effectLst/>
          </c:spPr>
          <c:invertIfNegative val="0"/>
          <c:cat>
            <c:strRef>
              <c:f>'3.11 MacDonnell'!$C$6</c:f>
              <c:strCache>
                <c:ptCount val="1"/>
                <c:pt idx="0">
                  <c:v>% of population</c:v>
                </c:pt>
              </c:strCache>
            </c:strRef>
          </c:cat>
          <c:val>
            <c:numRef>
              <c:f>'3.11 MacDonnell'!$C$7</c:f>
              <c:numCache>
                <c:formatCode>0%</c:formatCode>
                <c:ptCount val="1"/>
                <c:pt idx="0">
                  <c:v>0.90117725087050238</c:v>
                </c:pt>
              </c:numCache>
            </c:numRef>
          </c:val>
          <c:extLst xmlns:c16r2="http://schemas.microsoft.com/office/drawing/2015/06/chart">
            <c:ext xmlns:c16="http://schemas.microsoft.com/office/drawing/2014/chart" uri="{C3380CC4-5D6E-409C-BE32-E72D297353CC}">
              <c16:uniqueId val="{00000000-C3F7-4FFE-A26E-2CCAEC489E09}"/>
            </c:ext>
          </c:extLst>
        </c:ser>
        <c:ser>
          <c:idx val="1"/>
          <c:order val="1"/>
          <c:tx>
            <c:strRef>
              <c:f>'3.11 MacDonnell'!$B$8</c:f>
              <c:strCache>
                <c:ptCount val="1"/>
                <c:pt idx="0">
                  <c:v>Birthplace not stated</c:v>
                </c:pt>
              </c:strCache>
            </c:strRef>
          </c:tx>
          <c:spPr>
            <a:solidFill>
              <a:schemeClr val="dk1">
                <a:tint val="55000"/>
              </a:schemeClr>
            </a:solidFill>
            <a:ln w="19050">
              <a:solidFill>
                <a:schemeClr val="lt1"/>
              </a:solidFill>
            </a:ln>
            <a:effectLst/>
          </c:spPr>
          <c:invertIfNegative val="0"/>
          <c:cat>
            <c:strRef>
              <c:f>'3.11 MacDonnell'!$C$6</c:f>
              <c:strCache>
                <c:ptCount val="1"/>
                <c:pt idx="0">
                  <c:v>% of population</c:v>
                </c:pt>
              </c:strCache>
            </c:strRef>
          </c:cat>
          <c:val>
            <c:numRef>
              <c:f>'3.11 MacDonnell'!$C$8</c:f>
              <c:numCache>
                <c:formatCode>0%</c:formatCode>
                <c:ptCount val="1"/>
                <c:pt idx="0">
                  <c:v>7.1132482175426962E-2</c:v>
                </c:pt>
              </c:numCache>
            </c:numRef>
          </c:val>
          <c:extLst xmlns:c16r2="http://schemas.microsoft.com/office/drawing/2015/06/chart">
            <c:ext xmlns:c16="http://schemas.microsoft.com/office/drawing/2014/chart" uri="{C3380CC4-5D6E-409C-BE32-E72D297353CC}">
              <c16:uniqueId val="{00000001-C3F7-4FFE-A26E-2CCAEC489E09}"/>
            </c:ext>
          </c:extLst>
        </c:ser>
        <c:ser>
          <c:idx val="2"/>
          <c:order val="2"/>
          <c:tx>
            <c:v>Overseas born - MESC</c:v>
          </c:tx>
          <c:spPr>
            <a:solidFill>
              <a:schemeClr val="dk1">
                <a:tint val="75000"/>
              </a:schemeClr>
            </a:solidFill>
            <a:ln w="19050">
              <a:solidFill>
                <a:schemeClr val="lt1"/>
              </a:solidFill>
            </a:ln>
            <a:effectLst/>
          </c:spPr>
          <c:invertIfNegative val="0"/>
          <c:cat>
            <c:strRef>
              <c:f>'3.11 MacDonnell'!$C$6</c:f>
              <c:strCache>
                <c:ptCount val="1"/>
                <c:pt idx="0">
                  <c:v>% of population</c:v>
                </c:pt>
              </c:strCache>
            </c:strRef>
          </c:cat>
          <c:val>
            <c:numRef>
              <c:f>'3.11 MacDonnell'!$C$9</c:f>
              <c:numCache>
                <c:formatCode>0%</c:formatCode>
                <c:ptCount val="1"/>
                <c:pt idx="0">
                  <c:v>1.3928038467915769E-2</c:v>
                </c:pt>
              </c:numCache>
            </c:numRef>
          </c:val>
          <c:extLst xmlns:c16r2="http://schemas.microsoft.com/office/drawing/2015/06/chart">
            <c:ext xmlns:c16="http://schemas.microsoft.com/office/drawing/2014/chart" uri="{C3380CC4-5D6E-409C-BE32-E72D297353CC}">
              <c16:uniqueId val="{00000002-C3F7-4FFE-A26E-2CCAEC489E09}"/>
            </c:ext>
          </c:extLst>
        </c:ser>
        <c:ser>
          <c:idx val="3"/>
          <c:order val="3"/>
          <c:tx>
            <c:strRef>
              <c:f>'3.11 MacDonnell'!$B$11</c:f>
              <c:strCache>
                <c:ptCount val="1"/>
                <c:pt idx="0">
                  <c:v>Overseas born - NMESC</c:v>
                </c:pt>
              </c:strCache>
            </c:strRef>
          </c:tx>
          <c:spPr>
            <a:solidFill>
              <a:schemeClr val="dk1">
                <a:tint val="98500"/>
              </a:schemeClr>
            </a:solidFill>
            <a:ln w="19050">
              <a:solidFill>
                <a:schemeClr val="lt1"/>
              </a:solidFill>
            </a:ln>
            <a:effectLst/>
          </c:spPr>
          <c:invertIfNegative val="0"/>
          <c:cat>
            <c:strRef>
              <c:f>'3.11 MacDonnell'!$C$6</c:f>
              <c:strCache>
                <c:ptCount val="1"/>
                <c:pt idx="0">
                  <c:v>% of population</c:v>
                </c:pt>
              </c:strCache>
            </c:strRef>
          </c:cat>
          <c:val>
            <c:numRef>
              <c:f>'3.11 MacDonnell'!$C$11</c:f>
              <c:numCache>
                <c:formatCode>0%</c:formatCode>
                <c:ptCount val="1"/>
                <c:pt idx="0">
                  <c:v>1.3762228486154866E-2</c:v>
                </c:pt>
              </c:numCache>
            </c:numRef>
          </c:val>
          <c:extLst xmlns:c16r2="http://schemas.microsoft.com/office/drawing/2015/06/chart">
            <c:ext xmlns:c16="http://schemas.microsoft.com/office/drawing/2014/chart" uri="{C3380CC4-5D6E-409C-BE32-E72D297353CC}">
              <c16:uniqueId val="{00000003-C3F7-4FFE-A26E-2CCAEC489E09}"/>
            </c:ext>
          </c:extLst>
        </c:ser>
        <c:dLbls>
          <c:showLegendKey val="0"/>
          <c:showVal val="0"/>
          <c:showCatName val="0"/>
          <c:showSerName val="0"/>
          <c:showPercent val="0"/>
          <c:showBubbleSize val="0"/>
        </c:dLbls>
        <c:gapWidth val="52"/>
        <c:overlap val="100"/>
        <c:axId val="322555832"/>
        <c:axId val="322555440"/>
      </c:barChart>
      <c:valAx>
        <c:axId val="322555440"/>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2555832"/>
        <c:crosses val="autoZero"/>
        <c:crossBetween val="between"/>
        <c:minorUnit val="0.25"/>
      </c:valAx>
      <c:catAx>
        <c:axId val="322555832"/>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22555440"/>
        <c:crosses val="autoZero"/>
        <c:auto val="1"/>
        <c:lblAlgn val="ctr"/>
        <c:lblOffset val="100"/>
        <c:noMultiLvlLbl val="0"/>
      </c:catAx>
      <c:spPr>
        <a:noFill/>
        <a:ln>
          <a:noFill/>
        </a:ln>
        <a:effectLst/>
      </c:spPr>
    </c:plotArea>
    <c:legend>
      <c:legendPos val="b"/>
      <c:layout>
        <c:manualLayout>
          <c:xMode val="edge"/>
          <c:yMode val="edge"/>
          <c:x val="5.6672514381298309E-3"/>
          <c:y val="0.73724780931813394"/>
          <c:w val="0.97312145567296315"/>
          <c:h val="0.226166807262726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Change 2011-2016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4732195870717355E-2"/>
          <c:y val="0.21262697676032516"/>
          <c:w val="0.89665224249240949"/>
          <c:h val="0.44170796629656595"/>
        </c:manualLayout>
      </c:layout>
      <c:barChart>
        <c:barDir val="bar"/>
        <c:grouping val="clustered"/>
        <c:varyColors val="0"/>
        <c:ser>
          <c:idx val="0"/>
          <c:order val="0"/>
          <c:spPr>
            <a:solidFill>
              <a:schemeClr val="dk1">
                <a:tint val="88500"/>
              </a:schemeClr>
            </a:solidFill>
            <a:ln>
              <a:noFill/>
            </a:ln>
            <a:effectLst/>
          </c:spPr>
          <c:invertIfNegative val="0"/>
          <c:dPt>
            <c:idx val="2"/>
            <c:invertIfNegative val="0"/>
            <c:bubble3D val="0"/>
            <c:spPr>
              <a:solidFill>
                <a:schemeClr val="bg1">
                  <a:lumMod val="85000"/>
                </a:schemeClr>
              </a:solidFill>
              <a:ln>
                <a:noFill/>
              </a:ln>
              <a:effectLst/>
            </c:spPr>
            <c:extLst xmlns:c16r2="http://schemas.microsoft.com/office/drawing/2015/06/chart">
              <c:ext xmlns:c16="http://schemas.microsoft.com/office/drawing/2014/chart" uri="{C3380CC4-5D6E-409C-BE32-E72D297353CC}">
                <c16:uniqueId val="{00000001-0448-174A-BBF8-322A36A921C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('3.12 Palmerston'!$B$14:$B$16,'3.12 Palmerston'!$B$19)</c:f>
              <c:strCache>
                <c:ptCount val="4"/>
                <c:pt idx="0">
                  <c:v>Population</c:v>
                </c:pt>
                <c:pt idx="1">
                  <c:v>Australian born</c:v>
                </c:pt>
                <c:pt idx="2">
                  <c:v>Overseas born (a)</c:v>
                </c:pt>
                <c:pt idx="3">
                  <c:v>Overseas born - NMESC</c:v>
                </c:pt>
              </c:strCache>
            </c:strRef>
          </c:cat>
          <c:val>
            <c:numRef>
              <c:f>('3.12 Palmerston'!$G$14:$G$16,'3.12 Palmerston'!$G$19)</c:f>
              <c:numCache>
                <c:formatCode>0%</c:formatCode>
                <c:ptCount val="4"/>
                <c:pt idx="0">
                  <c:v>0.21957910695592536</c:v>
                </c:pt>
                <c:pt idx="1">
                  <c:v>0.13684461391801717</c:v>
                </c:pt>
                <c:pt idx="2">
                  <c:v>0.62491103202846976</c:v>
                </c:pt>
                <c:pt idx="3">
                  <c:v>0.86441368078175895</c:v>
                </c:pt>
              </c:numCache>
            </c:numRef>
          </c:val>
          <c:extLst xmlns:c16r2="http://schemas.microsoft.com/office/drawing/2015/06/chart">
            <c:ext xmlns:c16="http://schemas.microsoft.com/office/drawing/2014/chart" uri="{C3380CC4-5D6E-409C-BE32-E72D297353CC}">
              <c16:uniqueId val="{00000002-0448-174A-BBF8-322A36A921CE}"/>
            </c:ext>
          </c:extLst>
        </c:ser>
        <c:dLbls>
          <c:showLegendKey val="0"/>
          <c:showVal val="1"/>
          <c:showCatName val="0"/>
          <c:showSerName val="0"/>
          <c:showPercent val="0"/>
          <c:showBubbleSize val="0"/>
        </c:dLbls>
        <c:gapWidth val="74"/>
        <c:axId val="322556616"/>
        <c:axId val="322557008"/>
      </c:barChart>
      <c:catAx>
        <c:axId val="322556616"/>
        <c:scaling>
          <c:orientation val="minMax"/>
        </c:scaling>
        <c:delete val="1"/>
        <c:axPos val="l"/>
        <c:numFmt formatCode="General" sourceLinked="1"/>
        <c:majorTickMark val="none"/>
        <c:minorTickMark val="none"/>
        <c:tickLblPos val="nextTo"/>
        <c:crossAx val="322557008"/>
        <c:crosses val="autoZero"/>
        <c:auto val="1"/>
        <c:lblAlgn val="ctr"/>
        <c:lblOffset val="100"/>
        <c:noMultiLvlLbl val="0"/>
      </c:catAx>
      <c:valAx>
        <c:axId val="322557008"/>
        <c:scaling>
          <c:orientation val="minMax"/>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2556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3829604490624526"/>
          <c:y val="0.11261335705439227"/>
          <c:w val="0.64880659149503428"/>
          <c:h val="0.46749812678958497"/>
        </c:manualLayout>
      </c:layout>
      <c:barChart>
        <c:barDir val="bar"/>
        <c:grouping val="percentStacked"/>
        <c:varyColors val="0"/>
        <c:ser>
          <c:idx val="0"/>
          <c:order val="0"/>
          <c:tx>
            <c:strRef>
              <c:f>'3.12 Palmerston'!$B$4</c:f>
              <c:strCache>
                <c:ptCount val="1"/>
                <c:pt idx="0">
                  <c:v>Australian born</c:v>
                </c:pt>
              </c:strCache>
            </c:strRef>
          </c:tx>
          <c:spPr>
            <a:solidFill>
              <a:schemeClr val="dk1">
                <a:tint val="88500"/>
              </a:schemeClr>
            </a:solidFill>
            <a:ln w="19050">
              <a:solidFill>
                <a:schemeClr val="lt1"/>
              </a:solidFill>
            </a:ln>
            <a:effectLst/>
          </c:spPr>
          <c:invertIfNegative val="0"/>
          <c:val>
            <c:numRef>
              <c:f>'3.12 Palmerston'!$C$4</c:f>
              <c:numCache>
                <c:formatCode>0.00%</c:formatCode>
                <c:ptCount val="1"/>
                <c:pt idx="0">
                  <c:v>0.70599999999999996</c:v>
                </c:pt>
              </c:numCache>
            </c:numRef>
          </c:val>
          <c:extLst xmlns:c16r2="http://schemas.microsoft.com/office/drawing/2015/06/chart">
            <c:ext xmlns:c16="http://schemas.microsoft.com/office/drawing/2014/chart" uri="{C3380CC4-5D6E-409C-BE32-E72D297353CC}">
              <c16:uniqueId val="{00000000-E343-AC44-B342-3FC0DCA353C2}"/>
            </c:ext>
          </c:extLst>
        </c:ser>
        <c:ser>
          <c:idx val="1"/>
          <c:order val="1"/>
          <c:tx>
            <c:strRef>
              <c:f>'3.12 Palmerston'!$B$5</c:f>
              <c:strCache>
                <c:ptCount val="1"/>
                <c:pt idx="0">
                  <c:v>Birthplace not stated</c:v>
                </c:pt>
              </c:strCache>
            </c:strRef>
          </c:tx>
          <c:spPr>
            <a:solidFill>
              <a:schemeClr val="dk1">
                <a:tint val="55000"/>
              </a:schemeClr>
            </a:solidFill>
            <a:ln w="19050">
              <a:solidFill>
                <a:schemeClr val="lt1"/>
              </a:solidFill>
            </a:ln>
            <a:effectLst/>
          </c:spPr>
          <c:invertIfNegative val="0"/>
          <c:val>
            <c:numRef>
              <c:f>'3.12 Palmerston'!$C$5</c:f>
              <c:numCache>
                <c:formatCode>0.00%</c:formatCode>
                <c:ptCount val="1"/>
                <c:pt idx="0">
                  <c:v>9.1999999999999998E-2</c:v>
                </c:pt>
              </c:numCache>
            </c:numRef>
          </c:val>
          <c:extLst xmlns:c16r2="http://schemas.microsoft.com/office/drawing/2015/06/chart">
            <c:ext xmlns:c16="http://schemas.microsoft.com/office/drawing/2014/chart" uri="{C3380CC4-5D6E-409C-BE32-E72D297353CC}">
              <c16:uniqueId val="{00000001-E343-AC44-B342-3FC0DCA353C2}"/>
            </c:ext>
          </c:extLst>
        </c:ser>
        <c:ser>
          <c:idx val="2"/>
          <c:order val="2"/>
          <c:tx>
            <c:strRef>
              <c:f>'3.12 Palmerston'!$B$6</c:f>
              <c:strCache>
                <c:ptCount val="1"/>
                <c:pt idx="0">
                  <c:v>Overseas born - MESC</c:v>
                </c:pt>
              </c:strCache>
            </c:strRef>
          </c:tx>
          <c:spPr>
            <a:solidFill>
              <a:schemeClr val="dk1">
                <a:tint val="75000"/>
              </a:schemeClr>
            </a:solidFill>
            <a:ln w="19050">
              <a:solidFill>
                <a:schemeClr val="lt1"/>
              </a:solidFill>
            </a:ln>
            <a:effectLst/>
          </c:spPr>
          <c:invertIfNegative val="0"/>
          <c:val>
            <c:numRef>
              <c:f>'3.12 Palmerston'!$C$6</c:f>
              <c:numCache>
                <c:formatCode>0.00%</c:formatCode>
                <c:ptCount val="1"/>
                <c:pt idx="0">
                  <c:v>6.7000000000000004E-2</c:v>
                </c:pt>
              </c:numCache>
            </c:numRef>
          </c:val>
          <c:extLst xmlns:c16r2="http://schemas.microsoft.com/office/drawing/2015/06/chart">
            <c:ext xmlns:c16="http://schemas.microsoft.com/office/drawing/2014/chart" uri="{C3380CC4-5D6E-409C-BE32-E72D297353CC}">
              <c16:uniqueId val="{00000002-E343-AC44-B342-3FC0DCA353C2}"/>
            </c:ext>
          </c:extLst>
        </c:ser>
        <c:ser>
          <c:idx val="3"/>
          <c:order val="3"/>
          <c:tx>
            <c:strRef>
              <c:f>'3.12 Palmerston'!$B$7</c:f>
              <c:strCache>
                <c:ptCount val="1"/>
                <c:pt idx="0">
                  <c:v>Overseas born - NMESC</c:v>
                </c:pt>
              </c:strCache>
            </c:strRef>
          </c:tx>
          <c:spPr>
            <a:solidFill>
              <a:schemeClr val="dk1">
                <a:tint val="98500"/>
              </a:schemeClr>
            </a:solidFill>
            <a:ln w="19050">
              <a:solidFill>
                <a:schemeClr val="lt1"/>
              </a:solidFill>
            </a:ln>
            <a:effectLst/>
          </c:spPr>
          <c:invertIfNegative val="0"/>
          <c:val>
            <c:numRef>
              <c:f>'3.12 Palmerston'!$C$7</c:f>
              <c:numCache>
                <c:formatCode>0.00%</c:formatCode>
                <c:ptCount val="1"/>
                <c:pt idx="0">
                  <c:v>0.13600000000000001</c:v>
                </c:pt>
              </c:numCache>
            </c:numRef>
          </c:val>
          <c:extLst xmlns:c16r2="http://schemas.microsoft.com/office/drawing/2015/06/chart">
            <c:ext xmlns:c16="http://schemas.microsoft.com/office/drawing/2014/chart" uri="{C3380CC4-5D6E-409C-BE32-E72D297353CC}">
              <c16:uniqueId val="{00000003-E343-AC44-B342-3FC0DCA353C2}"/>
            </c:ext>
          </c:extLst>
        </c:ser>
        <c:dLbls>
          <c:showLegendKey val="0"/>
          <c:showVal val="0"/>
          <c:showCatName val="0"/>
          <c:showSerName val="0"/>
          <c:showPercent val="0"/>
          <c:showBubbleSize val="0"/>
        </c:dLbls>
        <c:gapWidth val="52"/>
        <c:overlap val="100"/>
        <c:axId val="321591952"/>
        <c:axId val="322557792"/>
      </c:barChart>
      <c:valAx>
        <c:axId val="32255779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1591952"/>
        <c:crosses val="autoZero"/>
        <c:crossBetween val="between"/>
        <c:minorUnit val="0.25"/>
      </c:valAx>
      <c:catAx>
        <c:axId val="321591952"/>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22557792"/>
        <c:crosses val="autoZero"/>
        <c:auto val="1"/>
        <c:lblAlgn val="ctr"/>
        <c:lblOffset val="100"/>
        <c:noMultiLvlLbl val="0"/>
      </c:catAx>
      <c:spPr>
        <a:noFill/>
        <a:ln>
          <a:noFill/>
        </a:ln>
        <a:effectLst/>
      </c:spPr>
    </c:plotArea>
    <c:legend>
      <c:legendPos val="b"/>
      <c:layout>
        <c:manualLayout>
          <c:xMode val="edge"/>
          <c:yMode val="edge"/>
          <c:x val="5.6672514381298309E-3"/>
          <c:y val="0.73724780931813394"/>
          <c:w val="0.97312145567296315"/>
          <c:h val="0.226166807262726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 change 2011-2016</a:t>
            </a:r>
          </a:p>
        </c:rich>
      </c:tx>
      <c:layout>
        <c:manualLayout>
          <c:xMode val="edge"/>
          <c:yMode val="edge"/>
          <c:x val="0.32464298088501714"/>
          <c:y val="1.646090534979424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222009167693379E-2"/>
          <c:y val="0.17706477518080996"/>
          <c:w val="0.8731842314498961"/>
          <c:h val="0.40226434658630633"/>
        </c:manualLayout>
      </c:layout>
      <c:barChart>
        <c:barDir val="bar"/>
        <c:grouping val="clustered"/>
        <c:varyColors val="0"/>
        <c:ser>
          <c:idx val="0"/>
          <c:order val="0"/>
          <c:tx>
            <c:strRef>
              <c:f>'3.13 Roper Gulf'!$B$15</c:f>
              <c:strCache>
                <c:ptCount val="1"/>
                <c:pt idx="0">
                  <c:v>Population</c:v>
                </c:pt>
              </c:strCache>
            </c:strRef>
          </c:tx>
          <c:spPr>
            <a:solidFill>
              <a:schemeClr val="dk1">
                <a:tint val="88500"/>
              </a:schemeClr>
            </a:solidFill>
            <a:ln>
              <a:noFill/>
            </a:ln>
            <a:effectLst/>
          </c:spPr>
          <c:invertIfNegative val="0"/>
          <c:val>
            <c:numRef>
              <c:f>'3.13 Roper Gulf'!$G$15</c:f>
              <c:numCache>
                <c:formatCode>0%</c:formatCode>
                <c:ptCount val="1"/>
                <c:pt idx="0">
                  <c:v>6.2571475249142292E-2</c:v>
                </c:pt>
              </c:numCache>
            </c:numRef>
          </c:val>
          <c:extLst xmlns:c16r2="http://schemas.microsoft.com/office/drawing/2015/06/chart">
            <c:ext xmlns:c16="http://schemas.microsoft.com/office/drawing/2014/chart" uri="{C3380CC4-5D6E-409C-BE32-E72D297353CC}">
              <c16:uniqueId val="{00000000-16B3-488B-8432-792A18DEB8A9}"/>
            </c:ext>
          </c:extLst>
        </c:ser>
        <c:ser>
          <c:idx val="1"/>
          <c:order val="1"/>
          <c:tx>
            <c:strRef>
              <c:f>'3.13 Roper Gulf'!$B$17</c:f>
              <c:strCache>
                <c:ptCount val="1"/>
                <c:pt idx="0">
                  <c:v>Overseas born (a)</c:v>
                </c:pt>
              </c:strCache>
            </c:strRef>
          </c:tx>
          <c:spPr>
            <a:solidFill>
              <a:schemeClr val="dk1">
                <a:tint val="55000"/>
              </a:schemeClr>
            </a:solidFill>
            <a:ln>
              <a:noFill/>
            </a:ln>
            <a:effectLst/>
          </c:spPr>
          <c:invertIfNegative val="0"/>
          <c:val>
            <c:numRef>
              <c:f>'3.13 Roper Gulf'!$G$17</c:f>
              <c:numCache>
                <c:formatCode>0%</c:formatCode>
                <c:ptCount val="1"/>
                <c:pt idx="0">
                  <c:v>0.78260869565217395</c:v>
                </c:pt>
              </c:numCache>
            </c:numRef>
          </c:val>
          <c:extLst xmlns:c16r2="http://schemas.microsoft.com/office/drawing/2015/06/chart">
            <c:ext xmlns:c16="http://schemas.microsoft.com/office/drawing/2014/chart" uri="{C3380CC4-5D6E-409C-BE32-E72D297353CC}">
              <c16:uniqueId val="{00000001-16B3-488B-8432-792A18DEB8A9}"/>
            </c:ext>
          </c:extLst>
        </c:ser>
        <c:ser>
          <c:idx val="2"/>
          <c:order val="2"/>
          <c:tx>
            <c:strRef>
              <c:f>'3.13 Roper Gulf'!$B$16</c:f>
              <c:strCache>
                <c:ptCount val="1"/>
                <c:pt idx="0">
                  <c:v>Australian born</c:v>
                </c:pt>
              </c:strCache>
            </c:strRef>
          </c:tx>
          <c:spPr>
            <a:solidFill>
              <a:schemeClr val="dk1">
                <a:tint val="75000"/>
              </a:schemeClr>
            </a:solidFill>
            <a:ln>
              <a:noFill/>
            </a:ln>
            <a:effectLst/>
          </c:spPr>
          <c:invertIfNegative val="0"/>
          <c:dPt>
            <c:idx val="0"/>
            <c:invertIfNegative val="0"/>
            <c:bubble3D val="0"/>
            <c:spPr>
              <a:solidFill>
                <a:schemeClr val="bg1">
                  <a:lumMod val="85000"/>
                </a:schemeClr>
              </a:solidFill>
              <a:ln>
                <a:noFill/>
              </a:ln>
              <a:effectLst/>
            </c:spPr>
            <c:extLst xmlns:c16r2="http://schemas.microsoft.com/office/drawing/2015/06/chart">
              <c:ext xmlns:c16="http://schemas.microsoft.com/office/drawing/2014/chart" uri="{C3380CC4-5D6E-409C-BE32-E72D297353CC}">
                <c16:uniqueId val="{00000003-16B3-488B-8432-792A18DEB8A9}"/>
              </c:ext>
            </c:extLst>
          </c:dPt>
          <c:val>
            <c:numRef>
              <c:f>'3.13 Roper Gulf'!$G$16</c:f>
              <c:numCache>
                <c:formatCode>0%</c:formatCode>
                <c:ptCount val="1"/>
                <c:pt idx="0">
                  <c:v>5.2891997952567819E-3</c:v>
                </c:pt>
              </c:numCache>
            </c:numRef>
          </c:val>
          <c:extLst xmlns:c16r2="http://schemas.microsoft.com/office/drawing/2015/06/chart">
            <c:ext xmlns:c16="http://schemas.microsoft.com/office/drawing/2014/chart" uri="{C3380CC4-5D6E-409C-BE32-E72D297353CC}">
              <c16:uniqueId val="{00000004-16B3-488B-8432-792A18DEB8A9}"/>
            </c:ext>
          </c:extLst>
        </c:ser>
        <c:ser>
          <c:idx val="3"/>
          <c:order val="3"/>
          <c:tx>
            <c:strRef>
              <c:f>'3.13 Roper Gulf'!$B$20</c:f>
              <c:strCache>
                <c:ptCount val="1"/>
                <c:pt idx="0">
                  <c:v>Overseas born - NMESC</c:v>
                </c:pt>
              </c:strCache>
            </c:strRef>
          </c:tx>
          <c:spPr>
            <a:solidFill>
              <a:schemeClr val="dk1">
                <a:tint val="98500"/>
              </a:schemeClr>
            </a:solidFill>
            <a:ln>
              <a:noFill/>
            </a:ln>
            <a:effectLst/>
          </c:spPr>
          <c:invertIfNegative val="0"/>
          <c:val>
            <c:numRef>
              <c:f>'3.13 Roper Gulf'!$G$20</c:f>
              <c:numCache>
                <c:formatCode>0%</c:formatCode>
                <c:ptCount val="1"/>
                <c:pt idx="0">
                  <c:v>2.1388888888888888</c:v>
                </c:pt>
              </c:numCache>
            </c:numRef>
          </c:val>
          <c:extLst xmlns:c16r2="http://schemas.microsoft.com/office/drawing/2015/06/chart">
            <c:ext xmlns:c16="http://schemas.microsoft.com/office/drawing/2014/chart" uri="{C3380CC4-5D6E-409C-BE32-E72D297353CC}">
              <c16:uniqueId val="{00000005-16B3-488B-8432-792A18DEB8A9}"/>
            </c:ext>
          </c:extLst>
        </c:ser>
        <c:dLbls>
          <c:showLegendKey val="0"/>
          <c:showVal val="0"/>
          <c:showCatName val="0"/>
          <c:showSerName val="0"/>
          <c:showPercent val="0"/>
          <c:showBubbleSize val="0"/>
        </c:dLbls>
        <c:gapWidth val="182"/>
        <c:axId val="321592736"/>
        <c:axId val="321593128"/>
      </c:barChart>
      <c:catAx>
        <c:axId val="321592736"/>
        <c:scaling>
          <c:orientation val="minMax"/>
        </c:scaling>
        <c:delete val="1"/>
        <c:axPos val="l"/>
        <c:majorTickMark val="none"/>
        <c:minorTickMark val="none"/>
        <c:tickLblPos val="nextTo"/>
        <c:crossAx val="321593128"/>
        <c:crosses val="autoZero"/>
        <c:auto val="1"/>
        <c:lblAlgn val="ctr"/>
        <c:lblOffset val="100"/>
        <c:noMultiLvlLbl val="0"/>
      </c:catAx>
      <c:valAx>
        <c:axId val="32159312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1592736"/>
        <c:crosses val="autoZero"/>
        <c:crossBetween val="between"/>
      </c:valAx>
      <c:spPr>
        <a:noFill/>
        <a:ln>
          <a:noFill/>
        </a:ln>
        <a:effectLst/>
      </c:spPr>
    </c:plotArea>
    <c:legend>
      <c:legendPos val="b"/>
      <c:legendEntry>
        <c:idx val="2"/>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2.2460806900058351E-2"/>
          <c:y val="0.79478370759210659"/>
          <c:w val="0.90000427305765085"/>
          <c:h val="0.2052162924078934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3829604490624526"/>
          <c:y val="0.11261335705439227"/>
          <c:w val="0.62118121368050172"/>
          <c:h val="0.40372680095192454"/>
        </c:manualLayout>
      </c:layout>
      <c:barChart>
        <c:barDir val="bar"/>
        <c:grouping val="percentStacked"/>
        <c:varyColors val="0"/>
        <c:ser>
          <c:idx val="0"/>
          <c:order val="0"/>
          <c:tx>
            <c:strRef>
              <c:f>'3.2 Alice Springs'!$B$8</c:f>
              <c:strCache>
                <c:ptCount val="1"/>
                <c:pt idx="0">
                  <c:v>Australian born</c:v>
                </c:pt>
              </c:strCache>
            </c:strRef>
          </c:tx>
          <c:spPr>
            <a:solidFill>
              <a:schemeClr val="dk1">
                <a:tint val="88500"/>
              </a:schemeClr>
            </a:solidFill>
            <a:ln w="19050">
              <a:solidFill>
                <a:schemeClr val="lt1"/>
              </a:solidFill>
            </a:ln>
            <a:effectLst/>
          </c:spPr>
          <c:invertIfNegative val="0"/>
          <c:cat>
            <c:strRef>
              <c:f>'3.2 Alice Springs'!$C$7</c:f>
              <c:strCache>
                <c:ptCount val="1"/>
                <c:pt idx="0">
                  <c:v>% of population</c:v>
                </c:pt>
              </c:strCache>
            </c:strRef>
          </c:cat>
          <c:val>
            <c:numRef>
              <c:f>'3.2 Alice Springs'!$C$8</c:f>
              <c:numCache>
                <c:formatCode>0%</c:formatCode>
                <c:ptCount val="1"/>
                <c:pt idx="0">
                  <c:v>0.64365076158539047</c:v>
                </c:pt>
              </c:numCache>
            </c:numRef>
          </c:val>
          <c:extLst xmlns:c16r2="http://schemas.microsoft.com/office/drawing/2015/06/chart">
            <c:ext xmlns:c16="http://schemas.microsoft.com/office/drawing/2014/chart" uri="{C3380CC4-5D6E-409C-BE32-E72D297353CC}">
              <c16:uniqueId val="{00000000-9AB5-9C46-BA9D-5FFB00EC48E5}"/>
            </c:ext>
          </c:extLst>
        </c:ser>
        <c:ser>
          <c:idx val="1"/>
          <c:order val="1"/>
          <c:tx>
            <c:strRef>
              <c:f>'3.2 Alice Springs'!$B$9</c:f>
              <c:strCache>
                <c:ptCount val="1"/>
                <c:pt idx="0">
                  <c:v>Birthplace not stated</c:v>
                </c:pt>
              </c:strCache>
            </c:strRef>
          </c:tx>
          <c:spPr>
            <a:solidFill>
              <a:schemeClr val="dk1">
                <a:tint val="55000"/>
              </a:schemeClr>
            </a:solidFill>
            <a:ln w="19050">
              <a:solidFill>
                <a:schemeClr val="lt1"/>
              </a:solidFill>
            </a:ln>
            <a:effectLst/>
          </c:spPr>
          <c:invertIfNegative val="0"/>
          <c:cat>
            <c:strRef>
              <c:f>'3.2 Alice Springs'!$C$7</c:f>
              <c:strCache>
                <c:ptCount val="1"/>
                <c:pt idx="0">
                  <c:v>% of population</c:v>
                </c:pt>
              </c:strCache>
            </c:strRef>
          </c:cat>
          <c:val>
            <c:numRef>
              <c:f>'3.2 Alice Springs'!$C$9</c:f>
              <c:numCache>
                <c:formatCode>0%</c:formatCode>
                <c:ptCount val="1"/>
                <c:pt idx="0">
                  <c:v>0.12185366247828371</c:v>
                </c:pt>
              </c:numCache>
            </c:numRef>
          </c:val>
          <c:extLst xmlns:c16r2="http://schemas.microsoft.com/office/drawing/2015/06/chart">
            <c:ext xmlns:c16="http://schemas.microsoft.com/office/drawing/2014/chart" uri="{C3380CC4-5D6E-409C-BE32-E72D297353CC}">
              <c16:uniqueId val="{00000001-9AB5-9C46-BA9D-5FFB00EC48E5}"/>
            </c:ext>
          </c:extLst>
        </c:ser>
        <c:ser>
          <c:idx val="2"/>
          <c:order val="2"/>
          <c:tx>
            <c:v>Overseas born - MESC</c:v>
          </c:tx>
          <c:spPr>
            <a:solidFill>
              <a:schemeClr val="dk1">
                <a:tint val="75000"/>
              </a:schemeClr>
            </a:solidFill>
            <a:ln w="19050">
              <a:solidFill>
                <a:schemeClr val="lt1"/>
              </a:solidFill>
            </a:ln>
            <a:effectLst/>
          </c:spPr>
          <c:invertIfNegative val="0"/>
          <c:cat>
            <c:strRef>
              <c:f>'3.2 Alice Springs'!$C$7</c:f>
              <c:strCache>
                <c:ptCount val="1"/>
                <c:pt idx="0">
                  <c:v>% of population</c:v>
                </c:pt>
              </c:strCache>
            </c:strRef>
          </c:cat>
          <c:val>
            <c:numRef>
              <c:f>'3.2 Alice Springs'!$C$10</c:f>
              <c:numCache>
                <c:formatCode>0%</c:formatCode>
                <c:ptCount val="1"/>
                <c:pt idx="0">
                  <c:v>0.10605632095672902</c:v>
                </c:pt>
              </c:numCache>
            </c:numRef>
          </c:val>
          <c:extLst xmlns:c16r2="http://schemas.microsoft.com/office/drawing/2015/06/chart">
            <c:ext xmlns:c16="http://schemas.microsoft.com/office/drawing/2014/chart" uri="{C3380CC4-5D6E-409C-BE32-E72D297353CC}">
              <c16:uniqueId val="{00000002-9AB5-9C46-BA9D-5FFB00EC48E5}"/>
            </c:ext>
          </c:extLst>
        </c:ser>
        <c:ser>
          <c:idx val="3"/>
          <c:order val="3"/>
          <c:tx>
            <c:strRef>
              <c:f>'3.2 Alice Springs'!$B$11</c:f>
              <c:strCache>
                <c:ptCount val="1"/>
                <c:pt idx="0">
                  <c:v>Overseas born - NMESC</c:v>
                </c:pt>
              </c:strCache>
            </c:strRef>
          </c:tx>
          <c:spPr>
            <a:solidFill>
              <a:schemeClr val="dk1">
                <a:tint val="98500"/>
              </a:schemeClr>
            </a:solidFill>
            <a:ln w="19050">
              <a:solidFill>
                <a:schemeClr val="lt1"/>
              </a:solidFill>
            </a:ln>
            <a:effectLst/>
          </c:spPr>
          <c:invertIfNegative val="0"/>
          <c:cat>
            <c:strRef>
              <c:f>'3.2 Alice Springs'!$C$7</c:f>
              <c:strCache>
                <c:ptCount val="1"/>
                <c:pt idx="0">
                  <c:v>% of population</c:v>
                </c:pt>
              </c:strCache>
            </c:strRef>
          </c:cat>
          <c:val>
            <c:numRef>
              <c:f>'3.2 Alice Springs'!$C$11</c:f>
              <c:numCache>
                <c:formatCode>0%</c:formatCode>
                <c:ptCount val="1"/>
                <c:pt idx="0">
                  <c:v>0.1282372429396792</c:v>
                </c:pt>
              </c:numCache>
            </c:numRef>
          </c:val>
          <c:extLst xmlns:c16r2="http://schemas.microsoft.com/office/drawing/2015/06/chart">
            <c:ext xmlns:c16="http://schemas.microsoft.com/office/drawing/2014/chart" uri="{C3380CC4-5D6E-409C-BE32-E72D297353CC}">
              <c16:uniqueId val="{00000003-9AB5-9C46-BA9D-5FFB00EC48E5}"/>
            </c:ext>
          </c:extLst>
        </c:ser>
        <c:dLbls>
          <c:showLegendKey val="0"/>
          <c:showVal val="0"/>
          <c:showCatName val="0"/>
          <c:showSerName val="0"/>
          <c:showPercent val="0"/>
          <c:showBubbleSize val="0"/>
        </c:dLbls>
        <c:gapWidth val="52"/>
        <c:overlap val="100"/>
        <c:axId val="318479568"/>
        <c:axId val="318034456"/>
      </c:barChart>
      <c:valAx>
        <c:axId val="31803445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18479568"/>
        <c:crosses val="autoZero"/>
        <c:crossBetween val="between"/>
        <c:minorUnit val="0.25"/>
      </c:valAx>
      <c:catAx>
        <c:axId val="31847956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18034456"/>
        <c:crosses val="autoZero"/>
        <c:auto val="1"/>
        <c:lblAlgn val="ctr"/>
        <c:lblOffset val="100"/>
        <c:noMultiLvlLbl val="0"/>
      </c:catAx>
      <c:spPr>
        <a:noFill/>
        <a:ln>
          <a:noFill/>
        </a:ln>
        <a:effectLst/>
      </c:spPr>
    </c:plotArea>
    <c:legend>
      <c:legendPos val="b"/>
      <c:layout>
        <c:manualLayout>
          <c:xMode val="edge"/>
          <c:yMode val="edge"/>
          <c:x val="5.6672439823502053E-3"/>
          <c:y val="0.76573400692784521"/>
          <c:w val="0.97312145567296315"/>
          <c:h val="0.23426599307215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3829604490624526"/>
          <c:y val="0.11261335705439227"/>
          <c:w val="0.64880659149503428"/>
          <c:h val="0.46749812678958497"/>
        </c:manualLayout>
      </c:layout>
      <c:barChart>
        <c:barDir val="bar"/>
        <c:grouping val="percentStacked"/>
        <c:varyColors val="0"/>
        <c:ser>
          <c:idx val="0"/>
          <c:order val="0"/>
          <c:tx>
            <c:strRef>
              <c:f>'3.13 Roper Gulf'!$B$7</c:f>
              <c:strCache>
                <c:ptCount val="1"/>
                <c:pt idx="0">
                  <c:v>Australian born</c:v>
                </c:pt>
              </c:strCache>
            </c:strRef>
          </c:tx>
          <c:spPr>
            <a:solidFill>
              <a:schemeClr val="dk1">
                <a:tint val="88500"/>
              </a:schemeClr>
            </a:solidFill>
            <a:ln w="19050">
              <a:solidFill>
                <a:schemeClr val="lt1"/>
              </a:solidFill>
            </a:ln>
            <a:effectLst/>
          </c:spPr>
          <c:invertIfNegative val="0"/>
          <c:cat>
            <c:strRef>
              <c:f>'3.13 Roper Gulf'!$C$6</c:f>
              <c:strCache>
                <c:ptCount val="1"/>
                <c:pt idx="0">
                  <c:v>% of population</c:v>
                </c:pt>
              </c:strCache>
            </c:strRef>
          </c:cat>
          <c:val>
            <c:numRef>
              <c:f>'3.13 Roper Gulf'!$C$7</c:f>
              <c:numCache>
                <c:formatCode>0%</c:formatCode>
                <c:ptCount val="1"/>
                <c:pt idx="0">
                  <c:v>0.90590405904059046</c:v>
                </c:pt>
              </c:numCache>
            </c:numRef>
          </c:val>
          <c:extLst xmlns:c16r2="http://schemas.microsoft.com/office/drawing/2015/06/chart">
            <c:ext xmlns:c16="http://schemas.microsoft.com/office/drawing/2014/chart" uri="{C3380CC4-5D6E-409C-BE32-E72D297353CC}">
              <c16:uniqueId val="{00000000-4DD8-46A8-8565-7DD0F6641C7C}"/>
            </c:ext>
          </c:extLst>
        </c:ser>
        <c:ser>
          <c:idx val="1"/>
          <c:order val="1"/>
          <c:tx>
            <c:strRef>
              <c:f>'3.13 Roper Gulf'!$B$8</c:f>
              <c:strCache>
                <c:ptCount val="1"/>
                <c:pt idx="0">
                  <c:v>Birthplace not stated</c:v>
                </c:pt>
              </c:strCache>
            </c:strRef>
          </c:tx>
          <c:spPr>
            <a:solidFill>
              <a:schemeClr val="dk1">
                <a:tint val="55000"/>
              </a:schemeClr>
            </a:solidFill>
            <a:ln w="19050">
              <a:solidFill>
                <a:schemeClr val="lt1"/>
              </a:solidFill>
            </a:ln>
            <a:effectLst/>
          </c:spPr>
          <c:invertIfNegative val="0"/>
          <c:cat>
            <c:strRef>
              <c:f>'3.13 Roper Gulf'!$C$6</c:f>
              <c:strCache>
                <c:ptCount val="1"/>
                <c:pt idx="0">
                  <c:v>% of population</c:v>
                </c:pt>
              </c:strCache>
            </c:strRef>
          </c:cat>
          <c:val>
            <c:numRef>
              <c:f>'3.13 Roper Gulf'!$C$8</c:f>
              <c:numCache>
                <c:formatCode>0%</c:formatCode>
                <c:ptCount val="1"/>
                <c:pt idx="0">
                  <c:v>6.2576875768757687E-2</c:v>
                </c:pt>
              </c:numCache>
            </c:numRef>
          </c:val>
          <c:extLst xmlns:c16r2="http://schemas.microsoft.com/office/drawing/2015/06/chart">
            <c:ext xmlns:c16="http://schemas.microsoft.com/office/drawing/2014/chart" uri="{C3380CC4-5D6E-409C-BE32-E72D297353CC}">
              <c16:uniqueId val="{00000001-4DD8-46A8-8565-7DD0F6641C7C}"/>
            </c:ext>
          </c:extLst>
        </c:ser>
        <c:ser>
          <c:idx val="2"/>
          <c:order val="2"/>
          <c:tx>
            <c:v>Overseas born - MESC</c:v>
          </c:tx>
          <c:spPr>
            <a:solidFill>
              <a:schemeClr val="dk1">
                <a:tint val="75000"/>
              </a:schemeClr>
            </a:solidFill>
            <a:ln w="19050">
              <a:solidFill>
                <a:schemeClr val="lt1"/>
              </a:solidFill>
            </a:ln>
            <a:effectLst/>
          </c:spPr>
          <c:invertIfNegative val="0"/>
          <c:cat>
            <c:strRef>
              <c:f>'3.13 Roper Gulf'!$C$6</c:f>
              <c:strCache>
                <c:ptCount val="1"/>
                <c:pt idx="0">
                  <c:v>% of population</c:v>
                </c:pt>
              </c:strCache>
            </c:strRef>
          </c:cat>
          <c:val>
            <c:numRef>
              <c:f>'3.13 Roper Gulf'!$C$9</c:f>
              <c:numCache>
                <c:formatCode>0%</c:formatCode>
                <c:ptCount val="1"/>
                <c:pt idx="0">
                  <c:v>1.3991389913899139E-2</c:v>
                </c:pt>
              </c:numCache>
            </c:numRef>
          </c:val>
          <c:extLst xmlns:c16r2="http://schemas.microsoft.com/office/drawing/2015/06/chart">
            <c:ext xmlns:c16="http://schemas.microsoft.com/office/drawing/2014/chart" uri="{C3380CC4-5D6E-409C-BE32-E72D297353CC}">
              <c16:uniqueId val="{00000002-4DD8-46A8-8565-7DD0F6641C7C}"/>
            </c:ext>
          </c:extLst>
        </c:ser>
        <c:ser>
          <c:idx val="3"/>
          <c:order val="3"/>
          <c:tx>
            <c:strRef>
              <c:f>'3.13 Roper Gulf'!$B$11</c:f>
              <c:strCache>
                <c:ptCount val="1"/>
                <c:pt idx="0">
                  <c:v>Overseas born - NMESC</c:v>
                </c:pt>
              </c:strCache>
            </c:strRef>
          </c:tx>
          <c:spPr>
            <a:solidFill>
              <a:schemeClr val="dk1">
                <a:tint val="98500"/>
              </a:schemeClr>
            </a:solidFill>
            <a:ln w="19050">
              <a:solidFill>
                <a:schemeClr val="lt1"/>
              </a:solidFill>
            </a:ln>
            <a:effectLst/>
          </c:spPr>
          <c:invertIfNegative val="0"/>
          <c:cat>
            <c:strRef>
              <c:f>'3.13 Roper Gulf'!$C$6</c:f>
              <c:strCache>
                <c:ptCount val="1"/>
                <c:pt idx="0">
                  <c:v>% of population</c:v>
                </c:pt>
              </c:strCache>
            </c:strRef>
          </c:cat>
          <c:val>
            <c:numRef>
              <c:f>'3.13 Roper Gulf'!$C$11</c:f>
              <c:numCache>
                <c:formatCode>0%</c:formatCode>
                <c:ptCount val="1"/>
                <c:pt idx="0">
                  <c:v>1.7373923739237393E-2</c:v>
                </c:pt>
              </c:numCache>
            </c:numRef>
          </c:val>
          <c:extLst xmlns:c16r2="http://schemas.microsoft.com/office/drawing/2015/06/chart">
            <c:ext xmlns:c16="http://schemas.microsoft.com/office/drawing/2014/chart" uri="{C3380CC4-5D6E-409C-BE32-E72D297353CC}">
              <c16:uniqueId val="{00000003-4DD8-46A8-8565-7DD0F6641C7C}"/>
            </c:ext>
          </c:extLst>
        </c:ser>
        <c:dLbls>
          <c:showLegendKey val="0"/>
          <c:showVal val="0"/>
          <c:showCatName val="0"/>
          <c:showSerName val="0"/>
          <c:showPercent val="0"/>
          <c:showBubbleSize val="0"/>
        </c:dLbls>
        <c:gapWidth val="52"/>
        <c:overlap val="100"/>
        <c:axId val="321594304"/>
        <c:axId val="321593912"/>
      </c:barChart>
      <c:valAx>
        <c:axId val="32159391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1594304"/>
        <c:crosses val="autoZero"/>
        <c:crossBetween val="between"/>
        <c:minorUnit val="0.25"/>
      </c:valAx>
      <c:catAx>
        <c:axId val="321594304"/>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21593912"/>
        <c:crosses val="autoZero"/>
        <c:auto val="1"/>
        <c:lblAlgn val="ctr"/>
        <c:lblOffset val="100"/>
        <c:noMultiLvlLbl val="0"/>
      </c:catAx>
      <c:spPr>
        <a:noFill/>
        <a:ln>
          <a:noFill/>
        </a:ln>
        <a:effectLst/>
      </c:spPr>
    </c:plotArea>
    <c:legend>
      <c:legendPos val="b"/>
      <c:layout>
        <c:manualLayout>
          <c:xMode val="edge"/>
          <c:yMode val="edge"/>
          <c:x val="5.6672514381298309E-3"/>
          <c:y val="0.73724780931813394"/>
          <c:w val="0.97312145567296315"/>
          <c:h val="0.226166807262726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 Change 2011-2016</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441417018942142E-2"/>
          <c:y val="0.21404719413568968"/>
          <c:w val="0.83352265973950224"/>
          <c:h val="0.35378189139251087"/>
        </c:manualLayout>
      </c:layout>
      <c:barChart>
        <c:barDir val="bar"/>
        <c:grouping val="clustered"/>
        <c:varyColors val="0"/>
        <c:ser>
          <c:idx val="0"/>
          <c:order val="0"/>
          <c:tx>
            <c:strRef>
              <c:f>'3.14 Tiwi Islands'!$B$15</c:f>
              <c:strCache>
                <c:ptCount val="1"/>
                <c:pt idx="0">
                  <c:v>Population</c:v>
                </c:pt>
              </c:strCache>
            </c:strRef>
          </c:tx>
          <c:spPr>
            <a:solidFill>
              <a:schemeClr val="dk1">
                <a:tint val="88500"/>
              </a:schemeClr>
            </a:solidFill>
            <a:ln>
              <a:noFill/>
            </a:ln>
            <a:effectLst/>
          </c:spPr>
          <c:invertIfNegative val="0"/>
          <c:val>
            <c:numRef>
              <c:f>'3.14 Tiwi Islands'!$G$15</c:f>
              <c:numCache>
                <c:formatCode>0%</c:formatCode>
                <c:ptCount val="1"/>
                <c:pt idx="0">
                  <c:v>-4.8875096974398756E-2</c:v>
                </c:pt>
              </c:numCache>
            </c:numRef>
          </c:val>
          <c:extLst xmlns:c16r2="http://schemas.microsoft.com/office/drawing/2015/06/chart">
            <c:ext xmlns:c16="http://schemas.microsoft.com/office/drawing/2014/chart" uri="{C3380CC4-5D6E-409C-BE32-E72D297353CC}">
              <c16:uniqueId val="{00000000-20CA-4491-BBFF-6437D88158EA}"/>
            </c:ext>
          </c:extLst>
        </c:ser>
        <c:ser>
          <c:idx val="1"/>
          <c:order val="1"/>
          <c:tx>
            <c:strRef>
              <c:f>'3.14 Tiwi Islands'!$B$17</c:f>
              <c:strCache>
                <c:ptCount val="1"/>
                <c:pt idx="0">
                  <c:v>Overseas born (a)</c:v>
                </c:pt>
              </c:strCache>
            </c:strRef>
          </c:tx>
          <c:spPr>
            <a:solidFill>
              <a:schemeClr val="dk1">
                <a:tint val="55000"/>
              </a:schemeClr>
            </a:solidFill>
            <a:ln>
              <a:noFill/>
            </a:ln>
            <a:effectLst/>
          </c:spPr>
          <c:invertIfNegative val="0"/>
          <c:val>
            <c:numRef>
              <c:f>'3.14 Tiwi Islands'!$G$17</c:f>
              <c:numCache>
                <c:formatCode>0%</c:formatCode>
                <c:ptCount val="1"/>
                <c:pt idx="0">
                  <c:v>16.5</c:v>
                </c:pt>
              </c:numCache>
            </c:numRef>
          </c:val>
          <c:extLst xmlns:c16r2="http://schemas.microsoft.com/office/drawing/2015/06/chart">
            <c:ext xmlns:c16="http://schemas.microsoft.com/office/drawing/2014/chart" uri="{C3380CC4-5D6E-409C-BE32-E72D297353CC}">
              <c16:uniqueId val="{00000001-20CA-4491-BBFF-6437D88158EA}"/>
            </c:ext>
          </c:extLst>
        </c:ser>
        <c:ser>
          <c:idx val="2"/>
          <c:order val="2"/>
          <c:tx>
            <c:strRef>
              <c:f>'3.14 Tiwi Islands'!$B$16</c:f>
              <c:strCache>
                <c:ptCount val="1"/>
                <c:pt idx="0">
                  <c:v>Australian born</c:v>
                </c:pt>
              </c:strCache>
            </c:strRef>
          </c:tx>
          <c:spPr>
            <a:solidFill>
              <a:schemeClr val="dk1">
                <a:tint val="75000"/>
              </a:schemeClr>
            </a:solidFill>
            <a:ln>
              <a:noFill/>
            </a:ln>
            <a:effectLst/>
          </c:spPr>
          <c:invertIfNegative val="0"/>
          <c:dPt>
            <c:idx val="0"/>
            <c:invertIfNegative val="0"/>
            <c:bubble3D val="0"/>
            <c:spPr>
              <a:solidFill>
                <a:schemeClr val="bg1">
                  <a:lumMod val="85000"/>
                </a:schemeClr>
              </a:solidFill>
              <a:ln>
                <a:noFill/>
              </a:ln>
              <a:effectLst/>
            </c:spPr>
            <c:extLst xmlns:c16r2="http://schemas.microsoft.com/office/drawing/2015/06/chart">
              <c:ext xmlns:c16="http://schemas.microsoft.com/office/drawing/2014/chart" uri="{C3380CC4-5D6E-409C-BE32-E72D297353CC}">
                <c16:uniqueId val="{00000003-20CA-4491-BBFF-6437D88158EA}"/>
              </c:ext>
            </c:extLst>
          </c:dPt>
          <c:val>
            <c:numRef>
              <c:f>'3.14 Tiwi Islands'!$G$16</c:f>
              <c:numCache>
                <c:formatCode>0%</c:formatCode>
                <c:ptCount val="1"/>
                <c:pt idx="0">
                  <c:v>-9.0125391849529779E-2</c:v>
                </c:pt>
              </c:numCache>
            </c:numRef>
          </c:val>
          <c:extLst xmlns:c16r2="http://schemas.microsoft.com/office/drawing/2015/06/chart">
            <c:ext xmlns:c16="http://schemas.microsoft.com/office/drawing/2014/chart" uri="{C3380CC4-5D6E-409C-BE32-E72D297353CC}">
              <c16:uniqueId val="{00000004-20CA-4491-BBFF-6437D88158EA}"/>
            </c:ext>
          </c:extLst>
        </c:ser>
        <c:ser>
          <c:idx val="3"/>
          <c:order val="3"/>
          <c:tx>
            <c:strRef>
              <c:f>'3.14 Tiwi Islands'!$B$20</c:f>
              <c:strCache>
                <c:ptCount val="1"/>
                <c:pt idx="0">
                  <c:v>Overseas born - NMESC</c:v>
                </c:pt>
              </c:strCache>
            </c:strRef>
          </c:tx>
          <c:spPr>
            <a:solidFill>
              <a:schemeClr val="dk1">
                <a:tint val="98500"/>
              </a:schemeClr>
            </a:solidFill>
            <a:ln>
              <a:noFill/>
            </a:ln>
            <a:effectLst/>
          </c:spPr>
          <c:invertIfNegative val="0"/>
          <c:val>
            <c:numRef>
              <c:f>'3.14 Tiwi Islands'!$G$20</c:f>
              <c:numCache>
                <c:formatCode>0%</c:formatCode>
                <c:ptCount val="1"/>
                <c:pt idx="0">
                  <c:v>15</c:v>
                </c:pt>
              </c:numCache>
            </c:numRef>
          </c:val>
          <c:extLst xmlns:c16r2="http://schemas.microsoft.com/office/drawing/2015/06/chart">
            <c:ext xmlns:c16="http://schemas.microsoft.com/office/drawing/2014/chart" uri="{C3380CC4-5D6E-409C-BE32-E72D297353CC}">
              <c16:uniqueId val="{00000005-20CA-4491-BBFF-6437D88158EA}"/>
            </c:ext>
          </c:extLst>
        </c:ser>
        <c:dLbls>
          <c:showLegendKey val="0"/>
          <c:showVal val="0"/>
          <c:showCatName val="0"/>
          <c:showSerName val="0"/>
          <c:showPercent val="0"/>
          <c:showBubbleSize val="0"/>
        </c:dLbls>
        <c:gapWidth val="75"/>
        <c:overlap val="-25"/>
        <c:axId val="321595480"/>
        <c:axId val="324539920"/>
      </c:barChart>
      <c:catAx>
        <c:axId val="321595480"/>
        <c:scaling>
          <c:orientation val="minMax"/>
        </c:scaling>
        <c:delete val="1"/>
        <c:axPos val="l"/>
        <c:majorTickMark val="none"/>
        <c:minorTickMark val="none"/>
        <c:tickLblPos val="nextTo"/>
        <c:crossAx val="324539920"/>
        <c:crosses val="autoZero"/>
        <c:auto val="1"/>
        <c:lblAlgn val="ctr"/>
        <c:lblOffset val="100"/>
        <c:noMultiLvlLbl val="0"/>
      </c:catAx>
      <c:valAx>
        <c:axId val="3245399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1595480"/>
        <c:crosses val="autoZero"/>
        <c:crossBetween val="between"/>
      </c:valAx>
      <c:spPr>
        <a:noFill/>
        <a:ln>
          <a:noFill/>
        </a:ln>
        <a:effectLst/>
      </c:spPr>
    </c:plotArea>
    <c:legend>
      <c:legendPos val="b"/>
      <c:layout>
        <c:manualLayout>
          <c:xMode val="edge"/>
          <c:yMode val="edge"/>
          <c:x val="8.2602533405521247E-2"/>
          <c:y val="0.75069453388037455"/>
          <c:w val="0.86739732540190462"/>
          <c:h val="0.249305466119625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3829604490624526"/>
          <c:y val="0.11261335705439227"/>
          <c:w val="0.64880659149503428"/>
          <c:h val="0.46749812678958497"/>
        </c:manualLayout>
      </c:layout>
      <c:barChart>
        <c:barDir val="bar"/>
        <c:grouping val="percentStacked"/>
        <c:varyColors val="0"/>
        <c:ser>
          <c:idx val="0"/>
          <c:order val="0"/>
          <c:tx>
            <c:strRef>
              <c:f>'3.14 Tiwi Islands'!$B$7</c:f>
              <c:strCache>
                <c:ptCount val="1"/>
                <c:pt idx="0">
                  <c:v>Australian born</c:v>
                </c:pt>
              </c:strCache>
            </c:strRef>
          </c:tx>
          <c:spPr>
            <a:solidFill>
              <a:schemeClr val="dk1">
                <a:tint val="88500"/>
              </a:schemeClr>
            </a:solidFill>
            <a:ln w="19050">
              <a:solidFill>
                <a:schemeClr val="lt1"/>
              </a:solidFill>
            </a:ln>
            <a:effectLst/>
          </c:spPr>
          <c:invertIfNegative val="0"/>
          <c:cat>
            <c:strRef>
              <c:f>'3.14 Tiwi Islands'!$C$6</c:f>
              <c:strCache>
                <c:ptCount val="1"/>
                <c:pt idx="0">
                  <c:v>% of population</c:v>
                </c:pt>
              </c:strCache>
            </c:strRef>
          </c:cat>
          <c:val>
            <c:numRef>
              <c:f>'3.14 Tiwi Islands'!$C$7</c:f>
              <c:numCache>
                <c:formatCode>0%</c:formatCode>
                <c:ptCount val="1"/>
                <c:pt idx="0">
                  <c:v>0.94698205546492664</c:v>
                </c:pt>
              </c:numCache>
            </c:numRef>
          </c:val>
          <c:extLst xmlns:c16r2="http://schemas.microsoft.com/office/drawing/2015/06/chart">
            <c:ext xmlns:c16="http://schemas.microsoft.com/office/drawing/2014/chart" uri="{C3380CC4-5D6E-409C-BE32-E72D297353CC}">
              <c16:uniqueId val="{00000000-1394-4014-B4E3-E9A96B0D603D}"/>
            </c:ext>
          </c:extLst>
        </c:ser>
        <c:ser>
          <c:idx val="1"/>
          <c:order val="1"/>
          <c:tx>
            <c:strRef>
              <c:f>'3.14 Tiwi Islands'!$B$8</c:f>
              <c:strCache>
                <c:ptCount val="1"/>
                <c:pt idx="0">
                  <c:v>Birthplace not stated</c:v>
                </c:pt>
              </c:strCache>
            </c:strRef>
          </c:tx>
          <c:spPr>
            <a:solidFill>
              <a:schemeClr val="dk1">
                <a:tint val="55000"/>
              </a:schemeClr>
            </a:solidFill>
            <a:ln w="19050">
              <a:solidFill>
                <a:schemeClr val="lt1"/>
              </a:solidFill>
            </a:ln>
            <a:effectLst/>
          </c:spPr>
          <c:invertIfNegative val="0"/>
          <c:cat>
            <c:strRef>
              <c:f>'3.14 Tiwi Islands'!$C$6</c:f>
              <c:strCache>
                <c:ptCount val="1"/>
                <c:pt idx="0">
                  <c:v>% of population</c:v>
                </c:pt>
              </c:strCache>
            </c:strRef>
          </c:cat>
          <c:val>
            <c:numRef>
              <c:f>'3.14 Tiwi Islands'!$C$8</c:f>
              <c:numCache>
                <c:formatCode>0%</c:formatCode>
                <c:ptCount val="1"/>
                <c:pt idx="0">
                  <c:v>2.6508972267536703E-2</c:v>
                </c:pt>
              </c:numCache>
            </c:numRef>
          </c:val>
          <c:extLst xmlns:c16r2="http://schemas.microsoft.com/office/drawing/2015/06/chart">
            <c:ext xmlns:c16="http://schemas.microsoft.com/office/drawing/2014/chart" uri="{C3380CC4-5D6E-409C-BE32-E72D297353CC}">
              <c16:uniqueId val="{00000001-1394-4014-B4E3-E9A96B0D603D}"/>
            </c:ext>
          </c:extLst>
        </c:ser>
        <c:ser>
          <c:idx val="2"/>
          <c:order val="2"/>
          <c:tx>
            <c:v>Overseas born - MESC</c:v>
          </c:tx>
          <c:spPr>
            <a:solidFill>
              <a:schemeClr val="dk1">
                <a:tint val="75000"/>
              </a:schemeClr>
            </a:solidFill>
            <a:ln w="19050">
              <a:solidFill>
                <a:schemeClr val="lt1"/>
              </a:solidFill>
            </a:ln>
            <a:effectLst/>
          </c:spPr>
          <c:invertIfNegative val="0"/>
          <c:cat>
            <c:strRef>
              <c:f>'3.14 Tiwi Islands'!$C$6</c:f>
              <c:strCache>
                <c:ptCount val="1"/>
                <c:pt idx="0">
                  <c:v>% of population</c:v>
                </c:pt>
              </c:strCache>
            </c:strRef>
          </c:cat>
          <c:val>
            <c:numRef>
              <c:f>'3.14 Tiwi Islands'!$C$9</c:f>
              <c:numCache>
                <c:formatCode>0%</c:formatCode>
                <c:ptCount val="1"/>
                <c:pt idx="0">
                  <c:v>9.3800978792822187E-3</c:v>
                </c:pt>
              </c:numCache>
            </c:numRef>
          </c:val>
          <c:extLst xmlns:c16r2="http://schemas.microsoft.com/office/drawing/2015/06/chart">
            <c:ext xmlns:c16="http://schemas.microsoft.com/office/drawing/2014/chart" uri="{C3380CC4-5D6E-409C-BE32-E72D297353CC}">
              <c16:uniqueId val="{00000002-1394-4014-B4E3-E9A96B0D603D}"/>
            </c:ext>
          </c:extLst>
        </c:ser>
        <c:ser>
          <c:idx val="3"/>
          <c:order val="3"/>
          <c:tx>
            <c:strRef>
              <c:f>'3.14 Tiwi Islands'!$B$10</c:f>
              <c:strCache>
                <c:ptCount val="1"/>
                <c:pt idx="0">
                  <c:v>Overseas born - NMESC</c:v>
                </c:pt>
              </c:strCache>
            </c:strRef>
          </c:tx>
          <c:spPr>
            <a:solidFill>
              <a:schemeClr val="dk1">
                <a:tint val="98500"/>
              </a:schemeClr>
            </a:solidFill>
            <a:ln w="19050">
              <a:solidFill>
                <a:schemeClr val="lt1"/>
              </a:solidFill>
            </a:ln>
            <a:effectLst/>
          </c:spPr>
          <c:invertIfNegative val="0"/>
          <c:cat>
            <c:strRef>
              <c:f>'3.14 Tiwi Islands'!$C$6</c:f>
              <c:strCache>
                <c:ptCount val="1"/>
                <c:pt idx="0">
                  <c:v>% of population</c:v>
                </c:pt>
              </c:strCache>
            </c:strRef>
          </c:cat>
          <c:val>
            <c:numRef>
              <c:f>'3.14 Tiwi Islands'!$C$10</c:f>
              <c:numCache>
                <c:formatCode>0%</c:formatCode>
                <c:ptCount val="1"/>
                <c:pt idx="0">
                  <c:v>1.9575856443719411E-2</c:v>
                </c:pt>
              </c:numCache>
            </c:numRef>
          </c:val>
          <c:extLst xmlns:c16r2="http://schemas.microsoft.com/office/drawing/2015/06/chart">
            <c:ext xmlns:c16="http://schemas.microsoft.com/office/drawing/2014/chart" uri="{C3380CC4-5D6E-409C-BE32-E72D297353CC}">
              <c16:uniqueId val="{00000003-1394-4014-B4E3-E9A96B0D603D}"/>
            </c:ext>
          </c:extLst>
        </c:ser>
        <c:dLbls>
          <c:showLegendKey val="0"/>
          <c:showVal val="0"/>
          <c:showCatName val="0"/>
          <c:showSerName val="0"/>
          <c:showPercent val="0"/>
          <c:showBubbleSize val="0"/>
        </c:dLbls>
        <c:gapWidth val="52"/>
        <c:overlap val="100"/>
        <c:axId val="324541096"/>
        <c:axId val="324540704"/>
      </c:barChart>
      <c:valAx>
        <c:axId val="324540704"/>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4541096"/>
        <c:crosses val="autoZero"/>
        <c:crossBetween val="between"/>
        <c:minorUnit val="0.25"/>
      </c:valAx>
      <c:catAx>
        <c:axId val="32454109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24540704"/>
        <c:crosses val="autoZero"/>
        <c:auto val="1"/>
        <c:lblAlgn val="ctr"/>
        <c:lblOffset val="100"/>
        <c:noMultiLvlLbl val="0"/>
      </c:catAx>
      <c:spPr>
        <a:noFill/>
        <a:ln>
          <a:noFill/>
        </a:ln>
        <a:effectLst/>
      </c:spPr>
    </c:plotArea>
    <c:legend>
      <c:legendPos val="b"/>
      <c:layout>
        <c:manualLayout>
          <c:xMode val="edge"/>
          <c:yMode val="edge"/>
          <c:x val="5.6672514381298309E-3"/>
          <c:y val="0.73724780931813394"/>
          <c:w val="0.97312145567296315"/>
          <c:h val="0.226166807262726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 change 2011-2016</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222082551981372E-2"/>
          <c:y val="0.20138059206159564"/>
          <c:w val="0.8731842314498961"/>
          <c:h val="0.45987756111637879"/>
        </c:manualLayout>
      </c:layout>
      <c:barChart>
        <c:barDir val="bar"/>
        <c:grouping val="clustered"/>
        <c:varyColors val="0"/>
        <c:ser>
          <c:idx val="0"/>
          <c:order val="0"/>
          <c:tx>
            <c:strRef>
              <c:f>'3.15 Victoria Daly'!$B$15</c:f>
              <c:strCache>
                <c:ptCount val="1"/>
                <c:pt idx="0">
                  <c:v>Population</c:v>
                </c:pt>
              </c:strCache>
            </c:strRef>
          </c:tx>
          <c:spPr>
            <a:solidFill>
              <a:schemeClr val="dk1">
                <a:tint val="88500"/>
              </a:schemeClr>
            </a:solidFill>
            <a:ln>
              <a:noFill/>
            </a:ln>
            <a:effectLst/>
          </c:spPr>
          <c:invertIfNegative val="0"/>
          <c:val>
            <c:numRef>
              <c:f>'3.15 Victoria Daly'!$G$15</c:f>
              <c:numCache>
                <c:formatCode>0%</c:formatCode>
                <c:ptCount val="1"/>
                <c:pt idx="0">
                  <c:v>-0.52481431465226203</c:v>
                </c:pt>
              </c:numCache>
            </c:numRef>
          </c:val>
          <c:extLst xmlns:c16r2="http://schemas.microsoft.com/office/drawing/2015/06/chart">
            <c:ext xmlns:c16="http://schemas.microsoft.com/office/drawing/2014/chart" uri="{C3380CC4-5D6E-409C-BE32-E72D297353CC}">
              <c16:uniqueId val="{00000000-490E-40DF-B748-F719D61D7D59}"/>
            </c:ext>
          </c:extLst>
        </c:ser>
        <c:ser>
          <c:idx val="1"/>
          <c:order val="1"/>
          <c:tx>
            <c:strRef>
              <c:f>'3.15 Victoria Daly'!$B$17</c:f>
              <c:strCache>
                <c:ptCount val="1"/>
                <c:pt idx="0">
                  <c:v>Overseas born (a)</c:v>
                </c:pt>
              </c:strCache>
            </c:strRef>
          </c:tx>
          <c:spPr>
            <a:solidFill>
              <a:schemeClr val="dk1">
                <a:tint val="55000"/>
              </a:schemeClr>
            </a:solidFill>
            <a:ln>
              <a:noFill/>
            </a:ln>
            <a:effectLst/>
          </c:spPr>
          <c:invertIfNegative val="0"/>
          <c:val>
            <c:numRef>
              <c:f>'3.15 Victoria Daly'!$G$17</c:f>
              <c:numCache>
                <c:formatCode>0%</c:formatCode>
                <c:ptCount val="1"/>
                <c:pt idx="0">
                  <c:v>-7.8431372549019607E-2</c:v>
                </c:pt>
              </c:numCache>
            </c:numRef>
          </c:val>
          <c:extLst xmlns:c16r2="http://schemas.microsoft.com/office/drawing/2015/06/chart">
            <c:ext xmlns:c16="http://schemas.microsoft.com/office/drawing/2014/chart" uri="{C3380CC4-5D6E-409C-BE32-E72D297353CC}">
              <c16:uniqueId val="{00000001-490E-40DF-B748-F719D61D7D59}"/>
            </c:ext>
          </c:extLst>
        </c:ser>
        <c:ser>
          <c:idx val="2"/>
          <c:order val="2"/>
          <c:tx>
            <c:strRef>
              <c:f>'3.15 Victoria Daly'!$B$16</c:f>
              <c:strCache>
                <c:ptCount val="1"/>
                <c:pt idx="0">
                  <c:v>Australian born</c:v>
                </c:pt>
              </c:strCache>
            </c:strRef>
          </c:tx>
          <c:spPr>
            <a:solidFill>
              <a:schemeClr val="dk1">
                <a:tint val="75000"/>
              </a:schemeClr>
            </a:solidFill>
            <a:ln>
              <a:noFill/>
            </a:ln>
            <a:effectLst/>
          </c:spPr>
          <c:invertIfNegative val="0"/>
          <c:dPt>
            <c:idx val="0"/>
            <c:invertIfNegative val="0"/>
            <c:bubble3D val="0"/>
            <c:spPr>
              <a:solidFill>
                <a:schemeClr val="bg1">
                  <a:lumMod val="85000"/>
                </a:schemeClr>
              </a:solidFill>
              <a:ln>
                <a:noFill/>
              </a:ln>
              <a:effectLst/>
            </c:spPr>
            <c:extLst xmlns:c16r2="http://schemas.microsoft.com/office/drawing/2015/06/chart">
              <c:ext xmlns:c16="http://schemas.microsoft.com/office/drawing/2014/chart" uri="{C3380CC4-5D6E-409C-BE32-E72D297353CC}">
                <c16:uniqueId val="{00000003-490E-40DF-B748-F719D61D7D59}"/>
              </c:ext>
            </c:extLst>
          </c:dPt>
          <c:val>
            <c:numRef>
              <c:f>'3.15 Victoria Daly'!$G$16</c:f>
              <c:numCache>
                <c:formatCode>0%</c:formatCode>
                <c:ptCount val="1"/>
                <c:pt idx="0">
                  <c:v>-0.59147958281774793</c:v>
                </c:pt>
              </c:numCache>
            </c:numRef>
          </c:val>
          <c:extLst xmlns:c16r2="http://schemas.microsoft.com/office/drawing/2015/06/chart">
            <c:ext xmlns:c16="http://schemas.microsoft.com/office/drawing/2014/chart" uri="{C3380CC4-5D6E-409C-BE32-E72D297353CC}">
              <c16:uniqueId val="{00000004-490E-40DF-B748-F719D61D7D59}"/>
            </c:ext>
          </c:extLst>
        </c:ser>
        <c:ser>
          <c:idx val="3"/>
          <c:order val="3"/>
          <c:tx>
            <c:strRef>
              <c:f>'3.15 Victoria Daly'!$B$20</c:f>
              <c:strCache>
                <c:ptCount val="1"/>
                <c:pt idx="0">
                  <c:v>Overseas born - NMESC</c:v>
                </c:pt>
              </c:strCache>
            </c:strRef>
          </c:tx>
          <c:spPr>
            <a:solidFill>
              <a:schemeClr val="dk1">
                <a:tint val="98500"/>
              </a:schemeClr>
            </a:solidFill>
            <a:ln>
              <a:noFill/>
            </a:ln>
            <a:effectLst/>
          </c:spPr>
          <c:invertIfNegative val="0"/>
          <c:val>
            <c:numRef>
              <c:f>'3.15 Victoria Daly'!$G$20</c:f>
              <c:numCache>
                <c:formatCode>0%</c:formatCode>
                <c:ptCount val="1"/>
                <c:pt idx="0">
                  <c:v>0.38709677419354838</c:v>
                </c:pt>
              </c:numCache>
            </c:numRef>
          </c:val>
          <c:extLst xmlns:c16r2="http://schemas.microsoft.com/office/drawing/2015/06/chart">
            <c:ext xmlns:c16="http://schemas.microsoft.com/office/drawing/2014/chart" uri="{C3380CC4-5D6E-409C-BE32-E72D297353CC}">
              <c16:uniqueId val="{00000005-490E-40DF-B748-F719D61D7D59}"/>
            </c:ext>
          </c:extLst>
        </c:ser>
        <c:dLbls>
          <c:showLegendKey val="0"/>
          <c:showVal val="0"/>
          <c:showCatName val="0"/>
          <c:showSerName val="0"/>
          <c:showPercent val="0"/>
          <c:showBubbleSize val="0"/>
        </c:dLbls>
        <c:gapWidth val="182"/>
        <c:axId val="324541880"/>
        <c:axId val="324542272"/>
      </c:barChart>
      <c:catAx>
        <c:axId val="324541880"/>
        <c:scaling>
          <c:orientation val="minMax"/>
        </c:scaling>
        <c:delete val="1"/>
        <c:axPos val="l"/>
        <c:majorTickMark val="none"/>
        <c:minorTickMark val="none"/>
        <c:tickLblPos val="nextTo"/>
        <c:crossAx val="324542272"/>
        <c:crosses val="autoZero"/>
        <c:auto val="1"/>
        <c:lblAlgn val="ctr"/>
        <c:lblOffset val="100"/>
        <c:noMultiLvlLbl val="0"/>
      </c:catAx>
      <c:valAx>
        <c:axId val="3245422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4541880"/>
        <c:crosses val="autoZero"/>
        <c:crossBetween val="between"/>
      </c:valAx>
      <c:spPr>
        <a:noFill/>
        <a:ln>
          <a:noFill/>
        </a:ln>
        <a:effectLst/>
      </c:spPr>
    </c:plotArea>
    <c:legend>
      <c:legendPos val="b"/>
      <c:layout>
        <c:manualLayout>
          <c:xMode val="edge"/>
          <c:yMode val="edge"/>
          <c:x val="2.2460806900058351E-2"/>
          <c:y val="0.83481016859153057"/>
          <c:w val="0.97519465587619847"/>
          <c:h val="0.1651898314084694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3829604490624526"/>
          <c:y val="0.11261335705439227"/>
          <c:w val="0.64880659149503428"/>
          <c:h val="0.46749812678958497"/>
        </c:manualLayout>
      </c:layout>
      <c:barChart>
        <c:barDir val="bar"/>
        <c:grouping val="percentStacked"/>
        <c:varyColors val="0"/>
        <c:ser>
          <c:idx val="0"/>
          <c:order val="0"/>
          <c:tx>
            <c:strRef>
              <c:f>'3.15 Victoria Daly'!$B$7</c:f>
              <c:strCache>
                <c:ptCount val="1"/>
                <c:pt idx="0">
                  <c:v>Australian born</c:v>
                </c:pt>
              </c:strCache>
            </c:strRef>
          </c:tx>
          <c:spPr>
            <a:solidFill>
              <a:schemeClr val="dk1">
                <a:tint val="88500"/>
              </a:schemeClr>
            </a:solidFill>
            <a:ln w="19050">
              <a:solidFill>
                <a:schemeClr val="lt1"/>
              </a:solidFill>
            </a:ln>
            <a:effectLst/>
          </c:spPr>
          <c:invertIfNegative val="0"/>
          <c:cat>
            <c:strRef>
              <c:f>'3.15 Victoria Daly'!$C$6</c:f>
              <c:strCache>
                <c:ptCount val="1"/>
                <c:pt idx="0">
                  <c:v>% of population</c:v>
                </c:pt>
              </c:strCache>
            </c:strRef>
          </c:cat>
          <c:val>
            <c:numRef>
              <c:f>'3.15 Victoria Daly'!$C$7</c:f>
              <c:numCache>
                <c:formatCode>0%</c:formatCode>
                <c:ptCount val="1"/>
                <c:pt idx="0">
                  <c:v>0.82095914742451159</c:v>
                </c:pt>
              </c:numCache>
            </c:numRef>
          </c:val>
          <c:extLst xmlns:c16r2="http://schemas.microsoft.com/office/drawing/2015/06/chart">
            <c:ext xmlns:c16="http://schemas.microsoft.com/office/drawing/2014/chart" uri="{C3380CC4-5D6E-409C-BE32-E72D297353CC}">
              <c16:uniqueId val="{00000000-C078-4B36-9A87-9E6BA0038871}"/>
            </c:ext>
          </c:extLst>
        </c:ser>
        <c:ser>
          <c:idx val="1"/>
          <c:order val="1"/>
          <c:tx>
            <c:strRef>
              <c:f>'3.15 Victoria Daly'!$B$8</c:f>
              <c:strCache>
                <c:ptCount val="1"/>
                <c:pt idx="0">
                  <c:v>Birthplace not stated</c:v>
                </c:pt>
              </c:strCache>
            </c:strRef>
          </c:tx>
          <c:spPr>
            <a:solidFill>
              <a:schemeClr val="dk1">
                <a:tint val="55000"/>
              </a:schemeClr>
            </a:solidFill>
            <a:ln w="19050">
              <a:solidFill>
                <a:schemeClr val="lt1"/>
              </a:solidFill>
            </a:ln>
            <a:effectLst/>
          </c:spPr>
          <c:invertIfNegative val="0"/>
          <c:cat>
            <c:strRef>
              <c:f>'3.15 Victoria Daly'!$C$6</c:f>
              <c:strCache>
                <c:ptCount val="1"/>
                <c:pt idx="0">
                  <c:v>% of population</c:v>
                </c:pt>
              </c:strCache>
            </c:strRef>
          </c:cat>
          <c:val>
            <c:numRef>
              <c:f>'3.15 Victoria Daly'!$C$8</c:f>
              <c:numCache>
                <c:formatCode>0%</c:formatCode>
                <c:ptCount val="1"/>
                <c:pt idx="0">
                  <c:v>0.1428063943161634</c:v>
                </c:pt>
              </c:numCache>
            </c:numRef>
          </c:val>
          <c:extLst xmlns:c16r2="http://schemas.microsoft.com/office/drawing/2015/06/chart">
            <c:ext xmlns:c16="http://schemas.microsoft.com/office/drawing/2014/chart" uri="{C3380CC4-5D6E-409C-BE32-E72D297353CC}">
              <c16:uniqueId val="{00000001-C078-4B36-9A87-9E6BA0038871}"/>
            </c:ext>
          </c:extLst>
        </c:ser>
        <c:ser>
          <c:idx val="2"/>
          <c:order val="2"/>
          <c:tx>
            <c:v>Overseas born - MESC</c:v>
          </c:tx>
          <c:spPr>
            <a:solidFill>
              <a:schemeClr val="dk1">
                <a:tint val="75000"/>
              </a:schemeClr>
            </a:solidFill>
            <a:ln w="19050">
              <a:solidFill>
                <a:schemeClr val="lt1"/>
              </a:solidFill>
            </a:ln>
            <a:effectLst/>
          </c:spPr>
          <c:invertIfNegative val="0"/>
          <c:cat>
            <c:strRef>
              <c:f>'3.15 Victoria Daly'!$C$6</c:f>
              <c:strCache>
                <c:ptCount val="1"/>
                <c:pt idx="0">
                  <c:v>% of population</c:v>
                </c:pt>
              </c:strCache>
            </c:strRef>
          </c:cat>
          <c:val>
            <c:numRef>
              <c:f>'3.15 Victoria Daly'!$C$9</c:f>
              <c:numCache>
                <c:formatCode>0%</c:formatCode>
                <c:ptCount val="1"/>
                <c:pt idx="0">
                  <c:v>1.9893428063943161E-2</c:v>
                </c:pt>
              </c:numCache>
            </c:numRef>
          </c:val>
          <c:extLst xmlns:c16r2="http://schemas.microsoft.com/office/drawing/2015/06/chart">
            <c:ext xmlns:c16="http://schemas.microsoft.com/office/drawing/2014/chart" uri="{C3380CC4-5D6E-409C-BE32-E72D297353CC}">
              <c16:uniqueId val="{00000002-C078-4B36-9A87-9E6BA0038871}"/>
            </c:ext>
          </c:extLst>
        </c:ser>
        <c:ser>
          <c:idx val="3"/>
          <c:order val="3"/>
          <c:tx>
            <c:strRef>
              <c:f>'3.15 Victoria Daly'!$B$11</c:f>
              <c:strCache>
                <c:ptCount val="1"/>
                <c:pt idx="0">
                  <c:v>Overseas born - NMESC</c:v>
                </c:pt>
              </c:strCache>
            </c:strRef>
          </c:tx>
          <c:spPr>
            <a:solidFill>
              <a:schemeClr val="dk1">
                <a:tint val="98500"/>
              </a:schemeClr>
            </a:solidFill>
            <a:ln w="19050">
              <a:solidFill>
                <a:schemeClr val="lt1"/>
              </a:solidFill>
            </a:ln>
            <a:effectLst/>
          </c:spPr>
          <c:invertIfNegative val="0"/>
          <c:cat>
            <c:strRef>
              <c:f>'3.15 Victoria Daly'!$C$6</c:f>
              <c:strCache>
                <c:ptCount val="1"/>
                <c:pt idx="0">
                  <c:v>% of population</c:v>
                </c:pt>
              </c:strCache>
            </c:strRef>
          </c:cat>
          <c:val>
            <c:numRef>
              <c:f>'3.15 Victoria Daly'!$C$11</c:f>
              <c:numCache>
                <c:formatCode>0%</c:formatCode>
                <c:ptCount val="1"/>
                <c:pt idx="0">
                  <c:v>1.52753108348135E-2</c:v>
                </c:pt>
              </c:numCache>
            </c:numRef>
          </c:val>
          <c:extLst xmlns:c16r2="http://schemas.microsoft.com/office/drawing/2015/06/chart">
            <c:ext xmlns:c16="http://schemas.microsoft.com/office/drawing/2014/chart" uri="{C3380CC4-5D6E-409C-BE32-E72D297353CC}">
              <c16:uniqueId val="{00000003-C078-4B36-9A87-9E6BA0038871}"/>
            </c:ext>
          </c:extLst>
        </c:ser>
        <c:dLbls>
          <c:showLegendKey val="0"/>
          <c:showVal val="0"/>
          <c:showCatName val="0"/>
          <c:showSerName val="0"/>
          <c:showPercent val="0"/>
          <c:showBubbleSize val="0"/>
        </c:dLbls>
        <c:gapWidth val="150"/>
        <c:overlap val="100"/>
        <c:axId val="324543448"/>
        <c:axId val="324543056"/>
      </c:barChart>
      <c:valAx>
        <c:axId val="32454305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4543448"/>
        <c:crosses val="autoZero"/>
        <c:crossBetween val="between"/>
        <c:minorUnit val="0.25"/>
      </c:valAx>
      <c:catAx>
        <c:axId val="3245434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24543056"/>
        <c:crosses val="autoZero"/>
        <c:auto val="1"/>
        <c:lblAlgn val="ctr"/>
        <c:lblOffset val="100"/>
        <c:noMultiLvlLbl val="0"/>
      </c:catAx>
      <c:spPr>
        <a:noFill/>
        <a:ln>
          <a:noFill/>
        </a:ln>
        <a:effectLst/>
      </c:spPr>
    </c:plotArea>
    <c:legend>
      <c:legendPos val="b"/>
      <c:layout>
        <c:manualLayout>
          <c:xMode val="edge"/>
          <c:yMode val="edge"/>
          <c:x val="5.6672514381298309E-3"/>
          <c:y val="0.78673255084506932"/>
          <c:w val="0.97312145567296315"/>
          <c:h val="0.176681988266572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 change 2011-2016</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222009167693379E-2"/>
          <c:y val="0.17706477518080996"/>
          <c:w val="0.8731842314498961"/>
          <c:h val="0.39265069807450537"/>
        </c:manualLayout>
      </c:layout>
      <c:barChart>
        <c:barDir val="bar"/>
        <c:grouping val="clustered"/>
        <c:varyColors val="0"/>
        <c:ser>
          <c:idx val="0"/>
          <c:order val="0"/>
          <c:tx>
            <c:strRef>
              <c:f>'3.16 Wagait'!$B$15</c:f>
              <c:strCache>
                <c:ptCount val="1"/>
                <c:pt idx="0">
                  <c:v>Population</c:v>
                </c:pt>
              </c:strCache>
            </c:strRef>
          </c:tx>
          <c:spPr>
            <a:solidFill>
              <a:schemeClr val="dk1">
                <a:tint val="88500"/>
              </a:schemeClr>
            </a:solidFill>
            <a:ln>
              <a:noFill/>
            </a:ln>
            <a:effectLst/>
          </c:spPr>
          <c:invertIfNegative val="0"/>
          <c:val>
            <c:numRef>
              <c:f>'3.16 Wagait'!$G$15</c:f>
              <c:numCache>
                <c:formatCode>0%</c:formatCode>
                <c:ptCount val="1"/>
                <c:pt idx="0">
                  <c:v>0.25</c:v>
                </c:pt>
              </c:numCache>
            </c:numRef>
          </c:val>
          <c:extLst xmlns:c16r2="http://schemas.microsoft.com/office/drawing/2015/06/chart">
            <c:ext xmlns:c16="http://schemas.microsoft.com/office/drawing/2014/chart" uri="{C3380CC4-5D6E-409C-BE32-E72D297353CC}">
              <c16:uniqueId val="{00000000-3F3D-4562-BA5B-A34107B03215}"/>
            </c:ext>
          </c:extLst>
        </c:ser>
        <c:ser>
          <c:idx val="1"/>
          <c:order val="1"/>
          <c:tx>
            <c:strRef>
              <c:f>'3.16 Wagait'!$B$17</c:f>
              <c:strCache>
                <c:ptCount val="1"/>
                <c:pt idx="0">
                  <c:v>Overseas born (a)</c:v>
                </c:pt>
              </c:strCache>
            </c:strRef>
          </c:tx>
          <c:spPr>
            <a:solidFill>
              <a:schemeClr val="dk1">
                <a:tint val="55000"/>
              </a:schemeClr>
            </a:solidFill>
            <a:ln>
              <a:noFill/>
            </a:ln>
            <a:effectLst/>
          </c:spPr>
          <c:invertIfNegative val="0"/>
          <c:val>
            <c:numRef>
              <c:f>'3.16 Wagait'!$G$17</c:f>
              <c:numCache>
                <c:formatCode>0%</c:formatCode>
                <c:ptCount val="1"/>
                <c:pt idx="0">
                  <c:v>0.39655172413793105</c:v>
                </c:pt>
              </c:numCache>
            </c:numRef>
          </c:val>
          <c:extLst xmlns:c16r2="http://schemas.microsoft.com/office/drawing/2015/06/chart">
            <c:ext xmlns:c16="http://schemas.microsoft.com/office/drawing/2014/chart" uri="{C3380CC4-5D6E-409C-BE32-E72D297353CC}">
              <c16:uniqueId val="{00000001-3F3D-4562-BA5B-A34107B03215}"/>
            </c:ext>
          </c:extLst>
        </c:ser>
        <c:ser>
          <c:idx val="2"/>
          <c:order val="2"/>
          <c:tx>
            <c:strRef>
              <c:f>'3.16 Wagait'!$B$16</c:f>
              <c:strCache>
                <c:ptCount val="1"/>
                <c:pt idx="0">
                  <c:v>Australian born</c:v>
                </c:pt>
              </c:strCache>
            </c:strRef>
          </c:tx>
          <c:spPr>
            <a:solidFill>
              <a:schemeClr val="dk1">
                <a:tint val="75000"/>
              </a:schemeClr>
            </a:solidFill>
            <a:ln>
              <a:noFill/>
            </a:ln>
            <a:effectLst/>
          </c:spPr>
          <c:invertIfNegative val="0"/>
          <c:dPt>
            <c:idx val="0"/>
            <c:invertIfNegative val="0"/>
            <c:bubble3D val="0"/>
            <c:spPr>
              <a:solidFill>
                <a:schemeClr val="bg1">
                  <a:lumMod val="85000"/>
                </a:schemeClr>
              </a:solidFill>
              <a:ln>
                <a:noFill/>
              </a:ln>
              <a:effectLst/>
            </c:spPr>
            <c:extLst xmlns:c16r2="http://schemas.microsoft.com/office/drawing/2015/06/chart">
              <c:ext xmlns:c16="http://schemas.microsoft.com/office/drawing/2014/chart" uri="{C3380CC4-5D6E-409C-BE32-E72D297353CC}">
                <c16:uniqueId val="{00000003-3F3D-4562-BA5B-A34107B03215}"/>
              </c:ext>
            </c:extLst>
          </c:dPt>
          <c:val>
            <c:numRef>
              <c:f>'3.16 Wagait'!$G$16</c:f>
              <c:numCache>
                <c:formatCode>0%</c:formatCode>
                <c:ptCount val="1"/>
                <c:pt idx="0">
                  <c:v>0.27173913043478259</c:v>
                </c:pt>
              </c:numCache>
            </c:numRef>
          </c:val>
          <c:extLst xmlns:c16r2="http://schemas.microsoft.com/office/drawing/2015/06/chart">
            <c:ext xmlns:c16="http://schemas.microsoft.com/office/drawing/2014/chart" uri="{C3380CC4-5D6E-409C-BE32-E72D297353CC}">
              <c16:uniqueId val="{00000004-3F3D-4562-BA5B-A34107B03215}"/>
            </c:ext>
          </c:extLst>
        </c:ser>
        <c:ser>
          <c:idx val="3"/>
          <c:order val="3"/>
          <c:tx>
            <c:strRef>
              <c:f>'3.16 Wagait'!$B$20</c:f>
              <c:strCache>
                <c:ptCount val="1"/>
                <c:pt idx="0">
                  <c:v>Overseas born - NMESC</c:v>
                </c:pt>
              </c:strCache>
            </c:strRef>
          </c:tx>
          <c:spPr>
            <a:solidFill>
              <a:schemeClr val="dk1">
                <a:tint val="98500"/>
              </a:schemeClr>
            </a:solidFill>
            <a:ln>
              <a:noFill/>
            </a:ln>
            <a:effectLst/>
          </c:spPr>
          <c:invertIfNegative val="0"/>
          <c:val>
            <c:numRef>
              <c:f>'3.16 Wagait'!$G$20</c:f>
              <c:numCache>
                <c:formatCode>0%</c:formatCode>
                <c:ptCount val="1"/>
                <c:pt idx="0">
                  <c:v>1.1666666666666667</c:v>
                </c:pt>
              </c:numCache>
            </c:numRef>
          </c:val>
          <c:extLst xmlns:c16r2="http://schemas.microsoft.com/office/drawing/2015/06/chart">
            <c:ext xmlns:c16="http://schemas.microsoft.com/office/drawing/2014/chart" uri="{C3380CC4-5D6E-409C-BE32-E72D297353CC}">
              <c16:uniqueId val="{00000005-3F3D-4562-BA5B-A34107B03215}"/>
            </c:ext>
          </c:extLst>
        </c:ser>
        <c:dLbls>
          <c:showLegendKey val="0"/>
          <c:showVal val="0"/>
          <c:showCatName val="0"/>
          <c:showSerName val="0"/>
          <c:showPercent val="0"/>
          <c:showBubbleSize val="0"/>
        </c:dLbls>
        <c:gapWidth val="182"/>
        <c:axId val="323611880"/>
        <c:axId val="323612272"/>
      </c:barChart>
      <c:catAx>
        <c:axId val="323611880"/>
        <c:scaling>
          <c:orientation val="minMax"/>
        </c:scaling>
        <c:delete val="1"/>
        <c:axPos val="l"/>
        <c:majorTickMark val="none"/>
        <c:minorTickMark val="none"/>
        <c:tickLblPos val="nextTo"/>
        <c:crossAx val="323612272"/>
        <c:crosses val="autoZero"/>
        <c:auto val="1"/>
        <c:lblAlgn val="ctr"/>
        <c:lblOffset val="100"/>
        <c:noMultiLvlLbl val="0"/>
      </c:catAx>
      <c:valAx>
        <c:axId val="3236122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3611880"/>
        <c:crosses val="autoZero"/>
        <c:crossBetween val="between"/>
      </c:valAx>
      <c:spPr>
        <a:noFill/>
        <a:ln>
          <a:noFill/>
        </a:ln>
        <a:effectLst/>
      </c:spPr>
    </c:plotArea>
    <c:legend>
      <c:legendPos val="b"/>
      <c:layout>
        <c:manualLayout>
          <c:xMode val="edge"/>
          <c:yMode val="edge"/>
          <c:x val="2.2460806900058351E-2"/>
          <c:y val="0.76186185587561039"/>
          <c:w val="0.97519465587619847"/>
          <c:h val="0.200163460580085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3829604490624526"/>
          <c:y val="0.11261335705439227"/>
          <c:w val="0.64880659149503428"/>
          <c:h val="0.46749812678958497"/>
        </c:manualLayout>
      </c:layout>
      <c:barChart>
        <c:barDir val="bar"/>
        <c:grouping val="percentStacked"/>
        <c:varyColors val="0"/>
        <c:ser>
          <c:idx val="0"/>
          <c:order val="0"/>
          <c:tx>
            <c:strRef>
              <c:f>'3.16 Wagait'!$B$7</c:f>
              <c:strCache>
                <c:ptCount val="1"/>
                <c:pt idx="0">
                  <c:v>Australian born</c:v>
                </c:pt>
              </c:strCache>
            </c:strRef>
          </c:tx>
          <c:spPr>
            <a:solidFill>
              <a:schemeClr val="dk1">
                <a:tint val="88500"/>
              </a:schemeClr>
            </a:solidFill>
            <a:ln w="19050">
              <a:solidFill>
                <a:schemeClr val="lt1"/>
              </a:solidFill>
            </a:ln>
            <a:effectLst/>
          </c:spPr>
          <c:invertIfNegative val="0"/>
          <c:cat>
            <c:strRef>
              <c:f>'3.16 Wagait'!$C$6</c:f>
              <c:strCache>
                <c:ptCount val="1"/>
                <c:pt idx="0">
                  <c:v>% of population</c:v>
                </c:pt>
              </c:strCache>
            </c:strRef>
          </c:cat>
          <c:val>
            <c:numRef>
              <c:f>'3.16 Wagait'!$C$7</c:f>
              <c:numCache>
                <c:formatCode>0%</c:formatCode>
                <c:ptCount val="1"/>
                <c:pt idx="0">
                  <c:v>0.7630434782608696</c:v>
                </c:pt>
              </c:numCache>
            </c:numRef>
          </c:val>
          <c:extLst xmlns:c16r2="http://schemas.microsoft.com/office/drawing/2015/06/chart">
            <c:ext xmlns:c16="http://schemas.microsoft.com/office/drawing/2014/chart" uri="{C3380CC4-5D6E-409C-BE32-E72D297353CC}">
              <c16:uniqueId val="{00000000-A91E-463F-9844-E6B6FB6CB45B}"/>
            </c:ext>
          </c:extLst>
        </c:ser>
        <c:ser>
          <c:idx val="1"/>
          <c:order val="1"/>
          <c:tx>
            <c:strRef>
              <c:f>'3.16 Wagait'!$B$8</c:f>
              <c:strCache>
                <c:ptCount val="1"/>
                <c:pt idx="0">
                  <c:v>Birthplace not stated</c:v>
                </c:pt>
              </c:strCache>
            </c:strRef>
          </c:tx>
          <c:spPr>
            <a:solidFill>
              <a:schemeClr val="dk1">
                <a:tint val="55000"/>
              </a:schemeClr>
            </a:solidFill>
            <a:ln w="19050">
              <a:solidFill>
                <a:schemeClr val="lt1"/>
              </a:solidFill>
            </a:ln>
            <a:effectLst/>
          </c:spPr>
          <c:invertIfNegative val="0"/>
          <c:cat>
            <c:strRef>
              <c:f>'3.16 Wagait'!$C$6</c:f>
              <c:strCache>
                <c:ptCount val="1"/>
                <c:pt idx="0">
                  <c:v>% of population</c:v>
                </c:pt>
              </c:strCache>
            </c:strRef>
          </c:cat>
          <c:val>
            <c:numRef>
              <c:f>'3.16 Wagait'!$C$8</c:f>
              <c:numCache>
                <c:formatCode>0%</c:formatCode>
                <c:ptCount val="1"/>
                <c:pt idx="0">
                  <c:v>5.434782608695652E-2</c:v>
                </c:pt>
              </c:numCache>
            </c:numRef>
          </c:val>
          <c:extLst xmlns:c16r2="http://schemas.microsoft.com/office/drawing/2015/06/chart">
            <c:ext xmlns:c16="http://schemas.microsoft.com/office/drawing/2014/chart" uri="{C3380CC4-5D6E-409C-BE32-E72D297353CC}">
              <c16:uniqueId val="{00000001-A91E-463F-9844-E6B6FB6CB45B}"/>
            </c:ext>
          </c:extLst>
        </c:ser>
        <c:ser>
          <c:idx val="2"/>
          <c:order val="2"/>
          <c:tx>
            <c:v>Overseas born - MESC</c:v>
          </c:tx>
          <c:spPr>
            <a:solidFill>
              <a:schemeClr val="dk1">
                <a:tint val="75000"/>
              </a:schemeClr>
            </a:solidFill>
            <a:ln w="19050">
              <a:solidFill>
                <a:schemeClr val="lt1"/>
              </a:solidFill>
            </a:ln>
            <a:effectLst/>
          </c:spPr>
          <c:invertIfNegative val="0"/>
          <c:cat>
            <c:strRef>
              <c:f>'3.16 Wagait'!$C$6</c:f>
              <c:strCache>
                <c:ptCount val="1"/>
                <c:pt idx="0">
                  <c:v>% of population</c:v>
                </c:pt>
              </c:strCache>
            </c:strRef>
          </c:cat>
          <c:val>
            <c:numRef>
              <c:f>'3.16 Wagait'!$C$9</c:f>
              <c:numCache>
                <c:formatCode>0%</c:formatCode>
                <c:ptCount val="1"/>
                <c:pt idx="0">
                  <c:v>0.11739130434782609</c:v>
                </c:pt>
              </c:numCache>
            </c:numRef>
          </c:val>
          <c:extLst xmlns:c16r2="http://schemas.microsoft.com/office/drawing/2015/06/chart">
            <c:ext xmlns:c16="http://schemas.microsoft.com/office/drawing/2014/chart" uri="{C3380CC4-5D6E-409C-BE32-E72D297353CC}">
              <c16:uniqueId val="{00000002-A91E-463F-9844-E6B6FB6CB45B}"/>
            </c:ext>
          </c:extLst>
        </c:ser>
        <c:ser>
          <c:idx val="3"/>
          <c:order val="3"/>
          <c:tx>
            <c:strRef>
              <c:f>'3.16 Wagait'!$B$11</c:f>
              <c:strCache>
                <c:ptCount val="1"/>
                <c:pt idx="0">
                  <c:v>Overseas born - NMESC</c:v>
                </c:pt>
              </c:strCache>
            </c:strRef>
          </c:tx>
          <c:spPr>
            <a:solidFill>
              <a:schemeClr val="dk1">
                <a:tint val="98500"/>
              </a:schemeClr>
            </a:solidFill>
            <a:ln w="19050">
              <a:solidFill>
                <a:schemeClr val="lt1"/>
              </a:solidFill>
            </a:ln>
            <a:effectLst/>
          </c:spPr>
          <c:invertIfNegative val="0"/>
          <c:cat>
            <c:strRef>
              <c:f>'3.16 Wagait'!$C$6</c:f>
              <c:strCache>
                <c:ptCount val="1"/>
                <c:pt idx="0">
                  <c:v>% of population</c:v>
                </c:pt>
              </c:strCache>
            </c:strRef>
          </c:cat>
          <c:val>
            <c:numRef>
              <c:f>'3.16 Wagait'!$C$11</c:f>
              <c:numCache>
                <c:formatCode>0%</c:formatCode>
                <c:ptCount val="1"/>
                <c:pt idx="0">
                  <c:v>5.6521739130434782E-2</c:v>
                </c:pt>
              </c:numCache>
            </c:numRef>
          </c:val>
          <c:extLst xmlns:c16r2="http://schemas.microsoft.com/office/drawing/2015/06/chart">
            <c:ext xmlns:c16="http://schemas.microsoft.com/office/drawing/2014/chart" uri="{C3380CC4-5D6E-409C-BE32-E72D297353CC}">
              <c16:uniqueId val="{00000003-A91E-463F-9844-E6B6FB6CB45B}"/>
            </c:ext>
          </c:extLst>
        </c:ser>
        <c:dLbls>
          <c:showLegendKey val="0"/>
          <c:showVal val="0"/>
          <c:showCatName val="0"/>
          <c:showSerName val="0"/>
          <c:showPercent val="0"/>
          <c:showBubbleSize val="0"/>
        </c:dLbls>
        <c:gapWidth val="52"/>
        <c:overlap val="100"/>
        <c:axId val="323613448"/>
        <c:axId val="323613056"/>
      </c:barChart>
      <c:valAx>
        <c:axId val="32361305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3613448"/>
        <c:crosses val="autoZero"/>
        <c:crossBetween val="between"/>
        <c:minorUnit val="0.25"/>
      </c:valAx>
      <c:catAx>
        <c:axId val="3236134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23613056"/>
        <c:crosses val="autoZero"/>
        <c:auto val="1"/>
        <c:lblAlgn val="ctr"/>
        <c:lblOffset val="100"/>
        <c:noMultiLvlLbl val="0"/>
      </c:catAx>
      <c:spPr>
        <a:noFill/>
        <a:ln>
          <a:noFill/>
        </a:ln>
        <a:effectLst/>
      </c:spPr>
    </c:plotArea>
    <c:legend>
      <c:legendPos val="b"/>
      <c:layout>
        <c:manualLayout>
          <c:xMode val="edge"/>
          <c:yMode val="edge"/>
          <c:x val="5.6672514381298309E-3"/>
          <c:y val="0.73724780931813394"/>
          <c:w val="0.97312145567296315"/>
          <c:h val="0.226166807262726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 change 2011-2016</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222009167693379E-2"/>
          <c:y val="0.17706477518080996"/>
          <c:w val="0.8731842314498961"/>
          <c:h val="0.41756440421478536"/>
        </c:manualLayout>
      </c:layout>
      <c:barChart>
        <c:barDir val="bar"/>
        <c:grouping val="clustered"/>
        <c:varyColors val="0"/>
        <c:ser>
          <c:idx val="0"/>
          <c:order val="0"/>
          <c:tx>
            <c:strRef>
              <c:f>'3.17 West Arnhem'!$B$15</c:f>
              <c:strCache>
                <c:ptCount val="1"/>
                <c:pt idx="0">
                  <c:v>Population</c:v>
                </c:pt>
              </c:strCache>
            </c:strRef>
          </c:tx>
          <c:spPr>
            <a:solidFill>
              <a:schemeClr val="dk1">
                <a:tint val="88500"/>
              </a:schemeClr>
            </a:solidFill>
            <a:ln>
              <a:noFill/>
            </a:ln>
            <a:effectLst/>
          </c:spPr>
          <c:invertIfNegative val="0"/>
          <c:val>
            <c:numRef>
              <c:f>'3.17 West Arnhem'!$G$15</c:f>
              <c:numCache>
                <c:formatCode>0%</c:formatCode>
                <c:ptCount val="1"/>
                <c:pt idx="0">
                  <c:v>-6.2590274434280212E-3</c:v>
                </c:pt>
              </c:numCache>
            </c:numRef>
          </c:val>
          <c:extLst xmlns:c16r2="http://schemas.microsoft.com/office/drawing/2015/06/chart">
            <c:ext xmlns:c16="http://schemas.microsoft.com/office/drawing/2014/chart" uri="{C3380CC4-5D6E-409C-BE32-E72D297353CC}">
              <c16:uniqueId val="{00000000-E7FB-493B-B9C5-A7A32A34375B}"/>
            </c:ext>
          </c:extLst>
        </c:ser>
        <c:ser>
          <c:idx val="1"/>
          <c:order val="1"/>
          <c:tx>
            <c:strRef>
              <c:f>'3.17 West Arnhem'!$B$17</c:f>
              <c:strCache>
                <c:ptCount val="1"/>
                <c:pt idx="0">
                  <c:v>Overseas born (a)</c:v>
                </c:pt>
              </c:strCache>
            </c:strRef>
          </c:tx>
          <c:spPr>
            <a:solidFill>
              <a:schemeClr val="dk1">
                <a:tint val="55000"/>
              </a:schemeClr>
            </a:solidFill>
            <a:ln>
              <a:noFill/>
            </a:ln>
            <a:effectLst/>
          </c:spPr>
          <c:invertIfNegative val="0"/>
          <c:val>
            <c:numRef>
              <c:f>'3.17 West Arnhem'!$G$17</c:f>
              <c:numCache>
                <c:formatCode>0%</c:formatCode>
                <c:ptCount val="1"/>
                <c:pt idx="0">
                  <c:v>8.1967213114754103E-3</c:v>
                </c:pt>
              </c:numCache>
            </c:numRef>
          </c:val>
          <c:extLst xmlns:c16r2="http://schemas.microsoft.com/office/drawing/2015/06/chart">
            <c:ext xmlns:c16="http://schemas.microsoft.com/office/drawing/2014/chart" uri="{C3380CC4-5D6E-409C-BE32-E72D297353CC}">
              <c16:uniqueId val="{00000001-E7FB-493B-B9C5-A7A32A34375B}"/>
            </c:ext>
          </c:extLst>
        </c:ser>
        <c:ser>
          <c:idx val="2"/>
          <c:order val="2"/>
          <c:tx>
            <c:strRef>
              <c:f>'3.17 West Arnhem'!$B$16</c:f>
              <c:strCache>
                <c:ptCount val="1"/>
                <c:pt idx="0">
                  <c:v>Australian born</c:v>
                </c:pt>
              </c:strCache>
            </c:strRef>
          </c:tx>
          <c:spPr>
            <a:solidFill>
              <a:schemeClr val="dk1">
                <a:tint val="75000"/>
              </a:schemeClr>
            </a:solidFill>
            <a:ln>
              <a:noFill/>
            </a:ln>
            <a:effectLst/>
          </c:spPr>
          <c:invertIfNegative val="0"/>
          <c:dPt>
            <c:idx val="0"/>
            <c:invertIfNegative val="0"/>
            <c:bubble3D val="0"/>
            <c:spPr>
              <a:solidFill>
                <a:schemeClr val="bg1">
                  <a:lumMod val="85000"/>
                </a:schemeClr>
              </a:solidFill>
              <a:ln>
                <a:noFill/>
              </a:ln>
              <a:effectLst/>
            </c:spPr>
            <c:extLst xmlns:c16r2="http://schemas.microsoft.com/office/drawing/2015/06/chart">
              <c:ext xmlns:c16="http://schemas.microsoft.com/office/drawing/2014/chart" uri="{C3380CC4-5D6E-409C-BE32-E72D297353CC}">
                <c16:uniqueId val="{00000003-E7FB-493B-B9C5-A7A32A34375B}"/>
              </c:ext>
            </c:extLst>
          </c:dPt>
          <c:val>
            <c:numRef>
              <c:f>'3.17 West Arnhem'!$G$16</c:f>
              <c:numCache>
                <c:formatCode>0%</c:formatCode>
                <c:ptCount val="1"/>
                <c:pt idx="0">
                  <c:v>-5.0450762829403605E-2</c:v>
                </c:pt>
              </c:numCache>
            </c:numRef>
          </c:val>
          <c:extLst xmlns:c16r2="http://schemas.microsoft.com/office/drawing/2015/06/chart">
            <c:ext xmlns:c16="http://schemas.microsoft.com/office/drawing/2014/chart" uri="{C3380CC4-5D6E-409C-BE32-E72D297353CC}">
              <c16:uniqueId val="{00000004-E7FB-493B-B9C5-A7A32A34375B}"/>
            </c:ext>
          </c:extLst>
        </c:ser>
        <c:ser>
          <c:idx val="3"/>
          <c:order val="3"/>
          <c:tx>
            <c:strRef>
              <c:f>'3.17 West Arnhem'!$B$20</c:f>
              <c:strCache>
                <c:ptCount val="1"/>
                <c:pt idx="0">
                  <c:v>Overseas born - NMESC</c:v>
                </c:pt>
              </c:strCache>
            </c:strRef>
          </c:tx>
          <c:spPr>
            <a:solidFill>
              <a:schemeClr val="dk1">
                <a:tint val="98500"/>
              </a:schemeClr>
            </a:solidFill>
            <a:ln>
              <a:noFill/>
            </a:ln>
            <a:effectLst/>
          </c:spPr>
          <c:invertIfNegative val="0"/>
          <c:val>
            <c:numRef>
              <c:f>'3.17 West Arnhem'!$G$20</c:f>
              <c:numCache>
                <c:formatCode>0%</c:formatCode>
                <c:ptCount val="1"/>
                <c:pt idx="0">
                  <c:v>0.11188811188811189</c:v>
                </c:pt>
              </c:numCache>
            </c:numRef>
          </c:val>
          <c:extLst xmlns:c16r2="http://schemas.microsoft.com/office/drawing/2015/06/chart">
            <c:ext xmlns:c16="http://schemas.microsoft.com/office/drawing/2014/chart" uri="{C3380CC4-5D6E-409C-BE32-E72D297353CC}">
              <c16:uniqueId val="{00000005-E7FB-493B-B9C5-A7A32A34375B}"/>
            </c:ext>
          </c:extLst>
        </c:ser>
        <c:dLbls>
          <c:showLegendKey val="0"/>
          <c:showVal val="0"/>
          <c:showCatName val="0"/>
          <c:showSerName val="0"/>
          <c:showPercent val="0"/>
          <c:showBubbleSize val="0"/>
        </c:dLbls>
        <c:gapWidth val="182"/>
        <c:axId val="323614624"/>
        <c:axId val="323615016"/>
      </c:barChart>
      <c:catAx>
        <c:axId val="323614624"/>
        <c:scaling>
          <c:orientation val="minMax"/>
        </c:scaling>
        <c:delete val="1"/>
        <c:axPos val="l"/>
        <c:majorTickMark val="none"/>
        <c:minorTickMark val="none"/>
        <c:tickLblPos val="nextTo"/>
        <c:crossAx val="323615016"/>
        <c:crosses val="autoZero"/>
        <c:auto val="1"/>
        <c:lblAlgn val="ctr"/>
        <c:lblOffset val="100"/>
        <c:noMultiLvlLbl val="0"/>
      </c:catAx>
      <c:valAx>
        <c:axId val="32361501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3614624"/>
        <c:crosses val="autoZero"/>
        <c:crossBetween val="between"/>
      </c:valAx>
      <c:spPr>
        <a:noFill/>
        <a:ln>
          <a:noFill/>
        </a:ln>
        <a:effectLst/>
      </c:spPr>
    </c:plotArea>
    <c:legend>
      <c:legendPos val="b"/>
      <c:layout>
        <c:manualLayout>
          <c:xMode val="edge"/>
          <c:yMode val="edge"/>
          <c:x val="2.2460806900058351E-2"/>
          <c:y val="0.76186185587561039"/>
          <c:w val="0.97519465587619847"/>
          <c:h val="0.200163460580085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3829604490624526"/>
          <c:y val="0.11261335705439227"/>
          <c:w val="0.64880659149503428"/>
          <c:h val="0.46749812678958497"/>
        </c:manualLayout>
      </c:layout>
      <c:barChart>
        <c:barDir val="bar"/>
        <c:grouping val="percentStacked"/>
        <c:varyColors val="0"/>
        <c:ser>
          <c:idx val="0"/>
          <c:order val="0"/>
          <c:tx>
            <c:strRef>
              <c:f>'3.17 West Arnhem'!$B$7</c:f>
              <c:strCache>
                <c:ptCount val="1"/>
                <c:pt idx="0">
                  <c:v>Australian born</c:v>
                </c:pt>
              </c:strCache>
            </c:strRef>
          </c:tx>
          <c:spPr>
            <a:solidFill>
              <a:schemeClr val="dk1">
                <a:tint val="88500"/>
              </a:schemeClr>
            </a:solidFill>
            <a:ln w="19050">
              <a:solidFill>
                <a:schemeClr val="lt1"/>
              </a:solidFill>
            </a:ln>
            <a:effectLst/>
          </c:spPr>
          <c:invertIfNegative val="0"/>
          <c:cat>
            <c:strRef>
              <c:f>'3.17 West Arnhem'!$C$6</c:f>
              <c:strCache>
                <c:ptCount val="1"/>
                <c:pt idx="0">
                  <c:v>% of population</c:v>
                </c:pt>
              </c:strCache>
            </c:strRef>
          </c:cat>
          <c:val>
            <c:numRef>
              <c:f>'3.17 West Arnhem'!$C$7</c:f>
              <c:numCache>
                <c:formatCode>0%</c:formatCode>
                <c:ptCount val="1"/>
                <c:pt idx="0">
                  <c:v>0.88452842377260987</c:v>
                </c:pt>
              </c:numCache>
            </c:numRef>
          </c:val>
          <c:extLst xmlns:c16r2="http://schemas.microsoft.com/office/drawing/2015/06/chart">
            <c:ext xmlns:c16="http://schemas.microsoft.com/office/drawing/2014/chart" uri="{C3380CC4-5D6E-409C-BE32-E72D297353CC}">
              <c16:uniqueId val="{00000000-DB38-484B-9F80-FD39762070E7}"/>
            </c:ext>
          </c:extLst>
        </c:ser>
        <c:ser>
          <c:idx val="1"/>
          <c:order val="1"/>
          <c:tx>
            <c:strRef>
              <c:f>'3.17 West Arnhem'!$B$8</c:f>
              <c:strCache>
                <c:ptCount val="1"/>
                <c:pt idx="0">
                  <c:v>Birthplace not stated</c:v>
                </c:pt>
              </c:strCache>
            </c:strRef>
          </c:tx>
          <c:spPr>
            <a:solidFill>
              <a:schemeClr val="dk1">
                <a:tint val="55000"/>
              </a:schemeClr>
            </a:solidFill>
            <a:ln w="19050">
              <a:solidFill>
                <a:schemeClr val="lt1"/>
              </a:solidFill>
            </a:ln>
            <a:effectLst/>
          </c:spPr>
          <c:invertIfNegative val="0"/>
          <c:cat>
            <c:strRef>
              <c:f>'3.17 West Arnhem'!$C$6</c:f>
              <c:strCache>
                <c:ptCount val="1"/>
                <c:pt idx="0">
                  <c:v>% of population</c:v>
                </c:pt>
              </c:strCache>
            </c:strRef>
          </c:cat>
          <c:val>
            <c:numRef>
              <c:f>'3.17 West Arnhem'!$C$8</c:f>
              <c:numCache>
                <c:formatCode>0%</c:formatCode>
                <c:ptCount val="1"/>
                <c:pt idx="0">
                  <c:v>7.4773901808785528E-2</c:v>
                </c:pt>
              </c:numCache>
            </c:numRef>
          </c:val>
          <c:extLst xmlns:c16r2="http://schemas.microsoft.com/office/drawing/2015/06/chart">
            <c:ext xmlns:c16="http://schemas.microsoft.com/office/drawing/2014/chart" uri="{C3380CC4-5D6E-409C-BE32-E72D297353CC}">
              <c16:uniqueId val="{00000001-DB38-484B-9F80-FD39762070E7}"/>
            </c:ext>
          </c:extLst>
        </c:ser>
        <c:ser>
          <c:idx val="2"/>
          <c:order val="2"/>
          <c:tx>
            <c:v>Overseas born - MESC</c:v>
          </c:tx>
          <c:spPr>
            <a:solidFill>
              <a:schemeClr val="dk1">
                <a:tint val="75000"/>
              </a:schemeClr>
            </a:solidFill>
            <a:ln w="19050">
              <a:solidFill>
                <a:schemeClr val="lt1"/>
              </a:solidFill>
            </a:ln>
            <a:effectLst/>
          </c:spPr>
          <c:invertIfNegative val="0"/>
          <c:cat>
            <c:strRef>
              <c:f>'3.17 West Arnhem'!$C$6</c:f>
              <c:strCache>
                <c:ptCount val="1"/>
                <c:pt idx="0">
                  <c:v>% of population</c:v>
                </c:pt>
              </c:strCache>
            </c:strRef>
          </c:cat>
          <c:val>
            <c:numRef>
              <c:f>'3.17 West Arnhem'!$C$9</c:f>
              <c:numCache>
                <c:formatCode>0%</c:formatCode>
                <c:ptCount val="1"/>
                <c:pt idx="0">
                  <c:v>1.5019379844961241E-2</c:v>
                </c:pt>
              </c:numCache>
            </c:numRef>
          </c:val>
          <c:extLst xmlns:c16r2="http://schemas.microsoft.com/office/drawing/2015/06/chart">
            <c:ext xmlns:c16="http://schemas.microsoft.com/office/drawing/2014/chart" uri="{C3380CC4-5D6E-409C-BE32-E72D297353CC}">
              <c16:uniqueId val="{00000002-DB38-484B-9F80-FD39762070E7}"/>
            </c:ext>
          </c:extLst>
        </c:ser>
        <c:ser>
          <c:idx val="3"/>
          <c:order val="3"/>
          <c:tx>
            <c:strRef>
              <c:f>'3.17 West Arnhem'!$B$10</c:f>
              <c:strCache>
                <c:ptCount val="1"/>
                <c:pt idx="0">
                  <c:v>Overseas born - NMESC</c:v>
                </c:pt>
              </c:strCache>
            </c:strRef>
          </c:tx>
          <c:spPr>
            <a:solidFill>
              <a:schemeClr val="dk1">
                <a:tint val="98500"/>
              </a:schemeClr>
            </a:solidFill>
            <a:ln w="19050">
              <a:solidFill>
                <a:schemeClr val="lt1"/>
              </a:solidFill>
            </a:ln>
            <a:effectLst/>
          </c:spPr>
          <c:invertIfNegative val="0"/>
          <c:cat>
            <c:strRef>
              <c:f>'3.17 West Arnhem'!$C$6</c:f>
              <c:strCache>
                <c:ptCount val="1"/>
                <c:pt idx="0">
                  <c:v>% of population</c:v>
                </c:pt>
              </c:strCache>
            </c:strRef>
          </c:cat>
          <c:val>
            <c:numRef>
              <c:f>'3.17 West Arnhem'!$C$10</c:f>
              <c:numCache>
                <c:formatCode>0%</c:formatCode>
                <c:ptCount val="1"/>
                <c:pt idx="0">
                  <c:v>2.5678294573643411E-2</c:v>
                </c:pt>
              </c:numCache>
            </c:numRef>
          </c:val>
          <c:extLst xmlns:c16r2="http://schemas.microsoft.com/office/drawing/2015/06/chart">
            <c:ext xmlns:c16="http://schemas.microsoft.com/office/drawing/2014/chart" uri="{C3380CC4-5D6E-409C-BE32-E72D297353CC}">
              <c16:uniqueId val="{00000003-DB38-484B-9F80-FD39762070E7}"/>
            </c:ext>
          </c:extLst>
        </c:ser>
        <c:dLbls>
          <c:showLegendKey val="0"/>
          <c:showVal val="0"/>
          <c:showCatName val="0"/>
          <c:showSerName val="0"/>
          <c:showPercent val="0"/>
          <c:showBubbleSize val="0"/>
        </c:dLbls>
        <c:gapWidth val="52"/>
        <c:overlap val="100"/>
        <c:axId val="326099912"/>
        <c:axId val="326099520"/>
      </c:barChart>
      <c:valAx>
        <c:axId val="326099520"/>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6099912"/>
        <c:crosses val="autoZero"/>
        <c:crossBetween val="between"/>
        <c:minorUnit val="0.25"/>
      </c:valAx>
      <c:catAx>
        <c:axId val="326099912"/>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26099520"/>
        <c:crosses val="autoZero"/>
        <c:auto val="1"/>
        <c:lblAlgn val="ctr"/>
        <c:lblOffset val="100"/>
        <c:noMultiLvlLbl val="0"/>
      </c:catAx>
      <c:spPr>
        <a:noFill/>
        <a:ln>
          <a:noFill/>
        </a:ln>
        <a:effectLst/>
      </c:spPr>
    </c:plotArea>
    <c:legend>
      <c:legendPos val="b"/>
      <c:layout>
        <c:manualLayout>
          <c:xMode val="edge"/>
          <c:yMode val="edge"/>
          <c:x val="5.6672514381298309E-3"/>
          <c:y val="0.73724780931813394"/>
          <c:w val="0.97312145567296315"/>
          <c:h val="0.226166807262726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change 2011-2016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222009167693379E-2"/>
          <c:y val="0.17706477518080996"/>
          <c:w val="0.8731842314498961"/>
          <c:h val="0.45987756111637879"/>
        </c:manualLayout>
      </c:layout>
      <c:barChart>
        <c:barDir val="bar"/>
        <c:grouping val="clustered"/>
        <c:varyColors val="0"/>
        <c:ser>
          <c:idx val="0"/>
          <c:order val="0"/>
          <c:tx>
            <c:strRef>
              <c:f>'3.18 West Daly LGA'!$B$15</c:f>
              <c:strCache>
                <c:ptCount val="1"/>
                <c:pt idx="0">
                  <c:v>Population</c:v>
                </c:pt>
              </c:strCache>
            </c:strRef>
          </c:tx>
          <c:spPr>
            <a:solidFill>
              <a:schemeClr val="dk1">
                <a:tint val="88500"/>
              </a:schemeClr>
            </a:solidFill>
            <a:ln>
              <a:noFill/>
            </a:ln>
            <a:effectLst/>
          </c:spPr>
          <c:invertIfNegative val="0"/>
          <c:val>
            <c:numRef>
              <c:f>'3.18 West Daly LGA'!$G$15</c:f>
              <c:numCache>
                <c:formatCode>#,##0</c:formatCode>
                <c:ptCount val="1"/>
                <c:pt idx="0">
                  <c:v>0</c:v>
                </c:pt>
              </c:numCache>
            </c:numRef>
          </c:val>
          <c:extLst xmlns:c16r2="http://schemas.microsoft.com/office/drawing/2015/06/chart">
            <c:ext xmlns:c16="http://schemas.microsoft.com/office/drawing/2014/chart" uri="{C3380CC4-5D6E-409C-BE32-E72D297353CC}">
              <c16:uniqueId val="{00000000-D7BA-477B-A4C4-B14568420D22}"/>
            </c:ext>
          </c:extLst>
        </c:ser>
        <c:ser>
          <c:idx val="1"/>
          <c:order val="1"/>
          <c:tx>
            <c:strRef>
              <c:f>'3.18 West Daly LGA'!$B$17</c:f>
              <c:strCache>
                <c:ptCount val="1"/>
                <c:pt idx="0">
                  <c:v>Overseas born (a)</c:v>
                </c:pt>
              </c:strCache>
            </c:strRef>
          </c:tx>
          <c:spPr>
            <a:solidFill>
              <a:schemeClr val="dk1">
                <a:tint val="55000"/>
              </a:schemeClr>
            </a:solidFill>
            <a:ln>
              <a:noFill/>
            </a:ln>
            <a:effectLst/>
          </c:spPr>
          <c:invertIfNegative val="0"/>
          <c:val>
            <c:numRef>
              <c:f>'3.18 West Daly LGA'!$G$17</c:f>
              <c:numCache>
                <c:formatCode>#,##0</c:formatCode>
                <c:ptCount val="1"/>
                <c:pt idx="0">
                  <c:v>0</c:v>
                </c:pt>
              </c:numCache>
            </c:numRef>
          </c:val>
          <c:extLst xmlns:c16r2="http://schemas.microsoft.com/office/drawing/2015/06/chart">
            <c:ext xmlns:c16="http://schemas.microsoft.com/office/drawing/2014/chart" uri="{C3380CC4-5D6E-409C-BE32-E72D297353CC}">
              <c16:uniqueId val="{00000001-D7BA-477B-A4C4-B14568420D22}"/>
            </c:ext>
          </c:extLst>
        </c:ser>
        <c:ser>
          <c:idx val="2"/>
          <c:order val="2"/>
          <c:tx>
            <c:strRef>
              <c:f>'3.18 West Daly LGA'!$B$16</c:f>
              <c:strCache>
                <c:ptCount val="1"/>
                <c:pt idx="0">
                  <c:v>Australian born</c:v>
                </c:pt>
              </c:strCache>
            </c:strRef>
          </c:tx>
          <c:spPr>
            <a:solidFill>
              <a:schemeClr val="dk1">
                <a:tint val="75000"/>
              </a:schemeClr>
            </a:solidFill>
            <a:ln>
              <a:noFill/>
            </a:ln>
            <a:effectLst/>
          </c:spPr>
          <c:invertIfNegative val="0"/>
          <c:dPt>
            <c:idx val="0"/>
            <c:invertIfNegative val="0"/>
            <c:bubble3D val="0"/>
            <c:spPr>
              <a:solidFill>
                <a:schemeClr val="bg1">
                  <a:lumMod val="85000"/>
                </a:schemeClr>
              </a:solidFill>
              <a:ln>
                <a:noFill/>
              </a:ln>
              <a:effectLst/>
            </c:spPr>
            <c:extLst xmlns:c16r2="http://schemas.microsoft.com/office/drawing/2015/06/chart">
              <c:ext xmlns:c16="http://schemas.microsoft.com/office/drawing/2014/chart" uri="{C3380CC4-5D6E-409C-BE32-E72D297353CC}">
                <c16:uniqueId val="{00000003-D7BA-477B-A4C4-B14568420D22}"/>
              </c:ext>
            </c:extLst>
          </c:dPt>
          <c:val>
            <c:numRef>
              <c:f>'3.18 West Daly LGA'!$G$16</c:f>
              <c:numCache>
                <c:formatCode>#,##0</c:formatCode>
                <c:ptCount val="1"/>
                <c:pt idx="0">
                  <c:v>0</c:v>
                </c:pt>
              </c:numCache>
            </c:numRef>
          </c:val>
          <c:extLst xmlns:c16r2="http://schemas.microsoft.com/office/drawing/2015/06/chart">
            <c:ext xmlns:c16="http://schemas.microsoft.com/office/drawing/2014/chart" uri="{C3380CC4-5D6E-409C-BE32-E72D297353CC}">
              <c16:uniqueId val="{00000004-D7BA-477B-A4C4-B14568420D22}"/>
            </c:ext>
          </c:extLst>
        </c:ser>
        <c:ser>
          <c:idx val="3"/>
          <c:order val="3"/>
          <c:tx>
            <c:strRef>
              <c:f>'3.18 West Daly LGA'!$B$20</c:f>
              <c:strCache>
                <c:ptCount val="1"/>
                <c:pt idx="0">
                  <c:v>Overseas born - NMESC</c:v>
                </c:pt>
              </c:strCache>
            </c:strRef>
          </c:tx>
          <c:spPr>
            <a:solidFill>
              <a:schemeClr val="dk1">
                <a:tint val="98500"/>
              </a:schemeClr>
            </a:solidFill>
            <a:ln>
              <a:noFill/>
            </a:ln>
            <a:effectLst/>
          </c:spPr>
          <c:invertIfNegative val="0"/>
          <c:val>
            <c:numRef>
              <c:f>'3.18 West Daly LGA'!$G$20</c:f>
              <c:numCache>
                <c:formatCode>#,##0</c:formatCode>
                <c:ptCount val="1"/>
                <c:pt idx="0">
                  <c:v>0</c:v>
                </c:pt>
              </c:numCache>
            </c:numRef>
          </c:val>
          <c:extLst xmlns:c16r2="http://schemas.microsoft.com/office/drawing/2015/06/chart">
            <c:ext xmlns:c16="http://schemas.microsoft.com/office/drawing/2014/chart" uri="{C3380CC4-5D6E-409C-BE32-E72D297353CC}">
              <c16:uniqueId val="{00000005-D7BA-477B-A4C4-B14568420D22}"/>
            </c:ext>
          </c:extLst>
        </c:ser>
        <c:dLbls>
          <c:showLegendKey val="0"/>
          <c:showVal val="0"/>
          <c:showCatName val="0"/>
          <c:showSerName val="0"/>
          <c:showPercent val="0"/>
          <c:showBubbleSize val="0"/>
        </c:dLbls>
        <c:gapWidth val="182"/>
        <c:axId val="326100696"/>
        <c:axId val="326101088"/>
      </c:barChart>
      <c:catAx>
        <c:axId val="326100696"/>
        <c:scaling>
          <c:orientation val="minMax"/>
        </c:scaling>
        <c:delete val="1"/>
        <c:axPos val="l"/>
        <c:majorTickMark val="none"/>
        <c:minorTickMark val="none"/>
        <c:tickLblPos val="nextTo"/>
        <c:crossAx val="326101088"/>
        <c:crosses val="autoZero"/>
        <c:auto val="1"/>
        <c:lblAlgn val="ctr"/>
        <c:lblOffset val="100"/>
        <c:noMultiLvlLbl val="0"/>
      </c:catAx>
      <c:valAx>
        <c:axId val="32610108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6100696"/>
        <c:crosses val="autoZero"/>
        <c:crossBetween val="between"/>
      </c:valAx>
      <c:spPr>
        <a:noFill/>
        <a:ln w="25400">
          <a:noFill/>
        </a:ln>
        <a:effectLst/>
      </c:spPr>
    </c:plotArea>
    <c:legend>
      <c:legendPos val="b"/>
      <c:layout>
        <c:manualLayout>
          <c:xMode val="edge"/>
          <c:yMode val="edge"/>
          <c:x val="2.2460806900058351E-2"/>
          <c:y val="0.76186185587561039"/>
          <c:w val="0.97519465587619847"/>
          <c:h val="0.200163460580085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 change 2011-2016</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222009167693379E-2"/>
          <c:y val="0.17706477518080996"/>
          <c:w val="0.8731842314498961"/>
          <c:h val="0.41089828057207134"/>
        </c:manualLayout>
      </c:layout>
      <c:barChart>
        <c:barDir val="bar"/>
        <c:grouping val="clustered"/>
        <c:varyColors val="0"/>
        <c:ser>
          <c:idx val="0"/>
          <c:order val="0"/>
          <c:tx>
            <c:strRef>
              <c:f>'3.3 Barkly'!$B$15</c:f>
              <c:strCache>
                <c:ptCount val="1"/>
                <c:pt idx="0">
                  <c:v>Population</c:v>
                </c:pt>
              </c:strCache>
            </c:strRef>
          </c:tx>
          <c:spPr>
            <a:solidFill>
              <a:schemeClr val="dk1">
                <a:tint val="88500"/>
              </a:schemeClr>
            </a:solidFill>
            <a:ln>
              <a:noFill/>
            </a:ln>
            <a:effectLst/>
          </c:spPr>
          <c:invertIfNegative val="0"/>
          <c:val>
            <c:numRef>
              <c:f>'3.3 Barkly'!$G$15</c:f>
              <c:numCache>
                <c:formatCode>0%</c:formatCode>
                <c:ptCount val="1"/>
                <c:pt idx="0">
                  <c:v>-2.4769163124725196E-2</c:v>
                </c:pt>
              </c:numCache>
            </c:numRef>
          </c:val>
          <c:extLst xmlns:c16r2="http://schemas.microsoft.com/office/drawing/2015/06/chart">
            <c:ext xmlns:c16="http://schemas.microsoft.com/office/drawing/2014/chart" uri="{C3380CC4-5D6E-409C-BE32-E72D297353CC}">
              <c16:uniqueId val="{00000000-0CE5-A846-9CC5-807C78E80BA2}"/>
            </c:ext>
          </c:extLst>
        </c:ser>
        <c:ser>
          <c:idx val="1"/>
          <c:order val="1"/>
          <c:tx>
            <c:strRef>
              <c:f>'3.3 Barkly'!$B$17</c:f>
              <c:strCache>
                <c:ptCount val="1"/>
                <c:pt idx="0">
                  <c:v>Overseas born (a)</c:v>
                </c:pt>
              </c:strCache>
            </c:strRef>
          </c:tx>
          <c:spPr>
            <a:solidFill>
              <a:schemeClr val="dk1">
                <a:tint val="55000"/>
              </a:schemeClr>
            </a:solidFill>
            <a:ln>
              <a:noFill/>
            </a:ln>
            <a:effectLst/>
          </c:spPr>
          <c:invertIfNegative val="0"/>
          <c:val>
            <c:numRef>
              <c:f>'3.3 Barkly'!$G$17</c:f>
              <c:numCache>
                <c:formatCode>0%</c:formatCode>
                <c:ptCount val="1"/>
                <c:pt idx="0">
                  <c:v>0.35752688172043012</c:v>
                </c:pt>
              </c:numCache>
            </c:numRef>
          </c:val>
          <c:extLst xmlns:c16r2="http://schemas.microsoft.com/office/drawing/2015/06/chart">
            <c:ext xmlns:c16="http://schemas.microsoft.com/office/drawing/2014/chart" uri="{C3380CC4-5D6E-409C-BE32-E72D297353CC}">
              <c16:uniqueId val="{00000001-0CE5-A846-9CC5-807C78E80BA2}"/>
            </c:ext>
          </c:extLst>
        </c:ser>
        <c:ser>
          <c:idx val="2"/>
          <c:order val="2"/>
          <c:tx>
            <c:strRef>
              <c:f>'3.3 Barkly'!$B$16</c:f>
              <c:strCache>
                <c:ptCount val="1"/>
                <c:pt idx="0">
                  <c:v>Australian born</c:v>
                </c:pt>
              </c:strCache>
            </c:strRef>
          </c:tx>
          <c:spPr>
            <a:solidFill>
              <a:schemeClr val="dk1">
                <a:tint val="75000"/>
              </a:schemeClr>
            </a:solidFill>
            <a:ln>
              <a:noFill/>
            </a:ln>
            <a:effectLst/>
          </c:spPr>
          <c:invertIfNegative val="0"/>
          <c:dPt>
            <c:idx val="0"/>
            <c:invertIfNegative val="0"/>
            <c:bubble3D val="0"/>
            <c:spPr>
              <a:solidFill>
                <a:schemeClr val="bg1">
                  <a:lumMod val="85000"/>
                </a:schemeClr>
              </a:solidFill>
              <a:ln>
                <a:noFill/>
              </a:ln>
              <a:effectLst/>
            </c:spPr>
            <c:extLst xmlns:c16r2="http://schemas.microsoft.com/office/drawing/2015/06/chart">
              <c:ext xmlns:c16="http://schemas.microsoft.com/office/drawing/2014/chart" uri="{C3380CC4-5D6E-409C-BE32-E72D297353CC}">
                <c16:uniqueId val="{00000003-0CE5-A846-9CC5-807C78E80BA2}"/>
              </c:ext>
            </c:extLst>
          </c:dPt>
          <c:val>
            <c:numRef>
              <c:f>'3.3 Barkly'!$G$16</c:f>
              <c:numCache>
                <c:formatCode>0%</c:formatCode>
                <c:ptCount val="1"/>
                <c:pt idx="0">
                  <c:v>-6.2396282774643215E-2</c:v>
                </c:pt>
              </c:numCache>
            </c:numRef>
          </c:val>
          <c:extLst xmlns:c16r2="http://schemas.microsoft.com/office/drawing/2015/06/chart">
            <c:ext xmlns:c16="http://schemas.microsoft.com/office/drawing/2014/chart" uri="{C3380CC4-5D6E-409C-BE32-E72D297353CC}">
              <c16:uniqueId val="{00000004-0CE5-A846-9CC5-807C78E80BA2}"/>
            </c:ext>
          </c:extLst>
        </c:ser>
        <c:ser>
          <c:idx val="3"/>
          <c:order val="3"/>
          <c:tx>
            <c:strRef>
              <c:f>'3.3 Barkly'!$B$20</c:f>
              <c:strCache>
                <c:ptCount val="1"/>
                <c:pt idx="0">
                  <c:v>Overseas born - NMESC</c:v>
                </c:pt>
              </c:strCache>
            </c:strRef>
          </c:tx>
          <c:spPr>
            <a:solidFill>
              <a:schemeClr val="dk1">
                <a:tint val="98500"/>
              </a:schemeClr>
            </a:solidFill>
            <a:ln>
              <a:noFill/>
            </a:ln>
            <a:effectLst/>
          </c:spPr>
          <c:invertIfNegative val="0"/>
          <c:val>
            <c:numRef>
              <c:f>'3.3 Barkly'!$G$20</c:f>
              <c:numCache>
                <c:formatCode>0%</c:formatCode>
                <c:ptCount val="1"/>
                <c:pt idx="0">
                  <c:v>0.57971014492753625</c:v>
                </c:pt>
              </c:numCache>
            </c:numRef>
          </c:val>
          <c:extLst xmlns:c16r2="http://schemas.microsoft.com/office/drawing/2015/06/chart">
            <c:ext xmlns:c16="http://schemas.microsoft.com/office/drawing/2014/chart" uri="{C3380CC4-5D6E-409C-BE32-E72D297353CC}">
              <c16:uniqueId val="{00000005-0CE5-A846-9CC5-807C78E80BA2}"/>
            </c:ext>
          </c:extLst>
        </c:ser>
        <c:dLbls>
          <c:showLegendKey val="0"/>
          <c:showVal val="0"/>
          <c:showCatName val="0"/>
          <c:showSerName val="0"/>
          <c:showPercent val="0"/>
          <c:showBubbleSize val="0"/>
        </c:dLbls>
        <c:gapWidth val="182"/>
        <c:axId val="318454880"/>
        <c:axId val="318448872"/>
      </c:barChart>
      <c:catAx>
        <c:axId val="318454880"/>
        <c:scaling>
          <c:orientation val="minMax"/>
        </c:scaling>
        <c:delete val="1"/>
        <c:axPos val="l"/>
        <c:majorTickMark val="none"/>
        <c:minorTickMark val="none"/>
        <c:tickLblPos val="nextTo"/>
        <c:crossAx val="318448872"/>
        <c:crosses val="autoZero"/>
        <c:auto val="1"/>
        <c:lblAlgn val="ctr"/>
        <c:lblOffset val="100"/>
        <c:noMultiLvlLbl val="0"/>
      </c:catAx>
      <c:valAx>
        <c:axId val="31844887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18454880"/>
        <c:crosses val="autoZero"/>
        <c:crossBetween val="between"/>
      </c:valAx>
      <c:spPr>
        <a:noFill/>
        <a:ln>
          <a:noFill/>
        </a:ln>
        <a:effectLst/>
      </c:spPr>
    </c:plotArea>
    <c:legend>
      <c:legendPos val="b"/>
      <c:layout>
        <c:manualLayout>
          <c:xMode val="edge"/>
          <c:yMode val="edge"/>
          <c:x val="2.2460806900058351E-2"/>
          <c:y val="0.76186185587561039"/>
          <c:w val="0.97519465587619847"/>
          <c:h val="0.200163460580085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3829604490624526"/>
          <c:y val="0.11261335705439227"/>
          <c:w val="0.64880659149503428"/>
          <c:h val="0.46749812678958497"/>
        </c:manualLayout>
      </c:layout>
      <c:barChart>
        <c:barDir val="bar"/>
        <c:grouping val="percentStacked"/>
        <c:varyColors val="0"/>
        <c:ser>
          <c:idx val="0"/>
          <c:order val="0"/>
          <c:tx>
            <c:strRef>
              <c:f>'3.18 West Daly LGA'!$B$7</c:f>
              <c:strCache>
                <c:ptCount val="1"/>
                <c:pt idx="0">
                  <c:v>Australian born</c:v>
                </c:pt>
              </c:strCache>
            </c:strRef>
          </c:tx>
          <c:spPr>
            <a:solidFill>
              <a:schemeClr val="dk1">
                <a:tint val="88500"/>
              </a:schemeClr>
            </a:solidFill>
            <a:ln w="19050">
              <a:solidFill>
                <a:schemeClr val="lt1"/>
              </a:solidFill>
            </a:ln>
            <a:effectLst/>
          </c:spPr>
          <c:invertIfNegative val="0"/>
          <c:cat>
            <c:numRef>
              <c:f>'3.18 West Daly LGA'!$C$5</c:f>
              <c:numCache>
                <c:formatCode>General</c:formatCode>
                <c:ptCount val="1"/>
              </c:numCache>
            </c:numRef>
          </c:cat>
          <c:val>
            <c:numRef>
              <c:f>'3.18 West Daly LGA'!$C$7</c:f>
              <c:numCache>
                <c:formatCode>0%</c:formatCode>
                <c:ptCount val="1"/>
                <c:pt idx="0">
                  <c:v>0.94790022102936533</c:v>
                </c:pt>
              </c:numCache>
            </c:numRef>
          </c:val>
          <c:extLst xmlns:c16r2="http://schemas.microsoft.com/office/drawing/2015/06/chart">
            <c:ext xmlns:c16="http://schemas.microsoft.com/office/drawing/2014/chart" uri="{C3380CC4-5D6E-409C-BE32-E72D297353CC}">
              <c16:uniqueId val="{00000000-9693-4662-85D6-9033A7E0D15B}"/>
            </c:ext>
          </c:extLst>
        </c:ser>
        <c:ser>
          <c:idx val="1"/>
          <c:order val="1"/>
          <c:tx>
            <c:strRef>
              <c:f>'3.18 West Daly LGA'!$B$8</c:f>
              <c:strCache>
                <c:ptCount val="1"/>
                <c:pt idx="0">
                  <c:v>Birthplace not stated</c:v>
                </c:pt>
              </c:strCache>
            </c:strRef>
          </c:tx>
          <c:spPr>
            <a:solidFill>
              <a:schemeClr val="dk1">
                <a:tint val="55000"/>
              </a:schemeClr>
            </a:solidFill>
            <a:ln w="19050">
              <a:solidFill>
                <a:schemeClr val="lt1"/>
              </a:solidFill>
            </a:ln>
            <a:effectLst/>
          </c:spPr>
          <c:invertIfNegative val="0"/>
          <c:cat>
            <c:numRef>
              <c:f>'3.18 West Daly LGA'!$C$5</c:f>
              <c:numCache>
                <c:formatCode>General</c:formatCode>
                <c:ptCount val="1"/>
              </c:numCache>
            </c:numRef>
          </c:cat>
          <c:val>
            <c:numRef>
              <c:f>'3.18 West Daly LGA'!$C$8</c:f>
              <c:numCache>
                <c:formatCode>0%</c:formatCode>
                <c:ptCount val="1"/>
                <c:pt idx="0">
                  <c:v>3.9153773287022416E-2</c:v>
                </c:pt>
              </c:numCache>
            </c:numRef>
          </c:val>
          <c:extLst xmlns:c16r2="http://schemas.microsoft.com/office/drawing/2015/06/chart">
            <c:ext xmlns:c16="http://schemas.microsoft.com/office/drawing/2014/chart" uri="{C3380CC4-5D6E-409C-BE32-E72D297353CC}">
              <c16:uniqueId val="{00000001-9693-4662-85D6-9033A7E0D15B}"/>
            </c:ext>
          </c:extLst>
        </c:ser>
        <c:ser>
          <c:idx val="2"/>
          <c:order val="2"/>
          <c:tx>
            <c:v>Overseas born - MESC</c:v>
          </c:tx>
          <c:spPr>
            <a:solidFill>
              <a:schemeClr val="dk1">
                <a:tint val="75000"/>
              </a:schemeClr>
            </a:solidFill>
            <a:ln w="19050">
              <a:solidFill>
                <a:schemeClr val="lt1"/>
              </a:solidFill>
            </a:ln>
            <a:effectLst/>
          </c:spPr>
          <c:invertIfNegative val="0"/>
          <c:cat>
            <c:numRef>
              <c:f>'3.18 West Daly LGA'!$C$5</c:f>
              <c:numCache>
                <c:formatCode>General</c:formatCode>
                <c:ptCount val="1"/>
              </c:numCache>
            </c:numRef>
          </c:cat>
          <c:val>
            <c:numRef>
              <c:f>'3.18 West Daly LGA'!$C$9</c:f>
              <c:numCache>
                <c:formatCode>0%</c:formatCode>
                <c:ptCount val="1"/>
                <c:pt idx="0">
                  <c:v>7.2623934322702871E-3</c:v>
                </c:pt>
              </c:numCache>
            </c:numRef>
          </c:val>
          <c:extLst xmlns:c16r2="http://schemas.microsoft.com/office/drawing/2015/06/chart">
            <c:ext xmlns:c16="http://schemas.microsoft.com/office/drawing/2014/chart" uri="{C3380CC4-5D6E-409C-BE32-E72D297353CC}">
              <c16:uniqueId val="{00000002-9693-4662-85D6-9033A7E0D15B}"/>
            </c:ext>
          </c:extLst>
        </c:ser>
        <c:ser>
          <c:idx val="3"/>
          <c:order val="3"/>
          <c:tx>
            <c:strRef>
              <c:f>'3.18 West Daly LGA'!$B$10</c:f>
              <c:strCache>
                <c:ptCount val="1"/>
                <c:pt idx="0">
                  <c:v>Overseas born - NMESC</c:v>
                </c:pt>
              </c:strCache>
            </c:strRef>
          </c:tx>
          <c:spPr>
            <a:solidFill>
              <a:schemeClr val="dk1">
                <a:tint val="98500"/>
              </a:schemeClr>
            </a:solidFill>
            <a:ln w="19050">
              <a:solidFill>
                <a:schemeClr val="lt1"/>
              </a:solidFill>
            </a:ln>
            <a:effectLst/>
          </c:spPr>
          <c:invertIfNegative val="0"/>
          <c:cat>
            <c:numRef>
              <c:f>'3.18 West Daly LGA'!$C$5</c:f>
              <c:numCache>
                <c:formatCode>General</c:formatCode>
                <c:ptCount val="1"/>
              </c:numCache>
            </c:numRef>
          </c:cat>
          <c:val>
            <c:numRef>
              <c:f>'3.18 West Daly LGA'!$C$10</c:f>
              <c:numCache>
                <c:formatCode>0%</c:formatCode>
                <c:ptCount val="1"/>
                <c:pt idx="0">
                  <c:v>5.3678560151562997E-3</c:v>
                </c:pt>
              </c:numCache>
            </c:numRef>
          </c:val>
          <c:extLst xmlns:c16r2="http://schemas.microsoft.com/office/drawing/2015/06/chart">
            <c:ext xmlns:c16="http://schemas.microsoft.com/office/drawing/2014/chart" uri="{C3380CC4-5D6E-409C-BE32-E72D297353CC}">
              <c16:uniqueId val="{00000003-9693-4662-85D6-9033A7E0D15B}"/>
            </c:ext>
          </c:extLst>
        </c:ser>
        <c:dLbls>
          <c:showLegendKey val="0"/>
          <c:showVal val="0"/>
          <c:showCatName val="0"/>
          <c:showSerName val="0"/>
          <c:showPercent val="0"/>
          <c:showBubbleSize val="0"/>
        </c:dLbls>
        <c:gapWidth val="52"/>
        <c:overlap val="100"/>
        <c:axId val="326102264"/>
        <c:axId val="326101872"/>
      </c:barChart>
      <c:valAx>
        <c:axId val="32610187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6102264"/>
        <c:crosses val="autoZero"/>
        <c:crossBetween val="between"/>
        <c:minorUnit val="0.25"/>
      </c:valAx>
      <c:catAx>
        <c:axId val="326102264"/>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326101872"/>
        <c:crosses val="autoZero"/>
        <c:auto val="1"/>
        <c:lblAlgn val="ctr"/>
        <c:lblOffset val="100"/>
        <c:noMultiLvlLbl val="0"/>
      </c:catAx>
      <c:spPr>
        <a:noFill/>
        <a:ln>
          <a:noFill/>
        </a:ln>
        <a:effectLst/>
      </c:spPr>
    </c:plotArea>
    <c:legend>
      <c:legendPos val="b"/>
      <c:layout>
        <c:manualLayout>
          <c:xMode val="edge"/>
          <c:yMode val="edge"/>
          <c:x val="5.6672514381298309E-3"/>
          <c:y val="0.73724780931813394"/>
          <c:w val="0.97312145567296315"/>
          <c:h val="0.226166807262726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Ref>
              <c:f>'Chart 3.1'!$O$3:$O$19</c:f>
              <c:strCache>
                <c:ptCount val="17"/>
                <c:pt idx="0">
                  <c:v>Darwin (C)</c:v>
                </c:pt>
                <c:pt idx="1">
                  <c:v>Palmerston (C)</c:v>
                </c:pt>
                <c:pt idx="2">
                  <c:v>Alice Springs (T)</c:v>
                </c:pt>
                <c:pt idx="3">
                  <c:v>Litchfield (M)</c:v>
                </c:pt>
                <c:pt idx="4">
                  <c:v>Katherine (T)</c:v>
                </c:pt>
                <c:pt idx="5">
                  <c:v>Barkly (R)</c:v>
                </c:pt>
                <c:pt idx="6">
                  <c:v>West Arnhem (R)</c:v>
                </c:pt>
                <c:pt idx="7">
                  <c:v>Roper Gulf (R)</c:v>
                </c:pt>
                <c:pt idx="8">
                  <c:v>MacDonnell (R)</c:v>
                </c:pt>
                <c:pt idx="9">
                  <c:v>Coomalie (S)</c:v>
                </c:pt>
                <c:pt idx="10">
                  <c:v>East Arnhem (R)</c:v>
                </c:pt>
                <c:pt idx="11">
                  <c:v>Central Desert (R)</c:v>
                </c:pt>
                <c:pt idx="12">
                  <c:v>Victoria Daly (R)</c:v>
                </c:pt>
                <c:pt idx="13">
                  <c:v>Wagait (S)</c:v>
                </c:pt>
                <c:pt idx="14">
                  <c:v>Tiwi Islands (R)</c:v>
                </c:pt>
                <c:pt idx="15">
                  <c:v>West Daly (R)</c:v>
                </c:pt>
                <c:pt idx="16">
                  <c:v>Belyuen (S)</c:v>
                </c:pt>
              </c:strCache>
            </c:strRef>
          </c:cat>
          <c:val>
            <c:numRef>
              <c:f>'Chart 3.1'!$P$3:$P$19</c:f>
              <c:numCache>
                <c:formatCode>_-* #,##0_-;\-* #,##0_-;_-* "-"??_-;_-@_-</c:formatCode>
                <c:ptCount val="17"/>
                <c:pt idx="0">
                  <c:v>24956</c:v>
                </c:pt>
                <c:pt idx="1">
                  <c:v>6849</c:v>
                </c:pt>
                <c:pt idx="2">
                  <c:v>5796</c:v>
                </c:pt>
                <c:pt idx="3">
                  <c:v>3029</c:v>
                </c:pt>
                <c:pt idx="4">
                  <c:v>1159</c:v>
                </c:pt>
                <c:pt idx="5">
                  <c:v>505</c:v>
                </c:pt>
                <c:pt idx="6">
                  <c:v>246</c:v>
                </c:pt>
                <c:pt idx="7">
                  <c:v>205</c:v>
                </c:pt>
                <c:pt idx="8">
                  <c:v>169</c:v>
                </c:pt>
                <c:pt idx="9">
                  <c:v>159</c:v>
                </c:pt>
                <c:pt idx="10">
                  <c:v>138</c:v>
                </c:pt>
                <c:pt idx="11">
                  <c:v>101</c:v>
                </c:pt>
                <c:pt idx="12">
                  <c:v>94</c:v>
                </c:pt>
                <c:pt idx="13">
                  <c:v>81</c:v>
                </c:pt>
                <c:pt idx="14">
                  <c:v>70</c:v>
                </c:pt>
                <c:pt idx="15">
                  <c:v>37</c:v>
                </c:pt>
                <c:pt idx="16">
                  <c:v>0</c:v>
                </c:pt>
              </c:numCache>
            </c:numRef>
          </c:val>
          <c:extLst xmlns:c16r2="http://schemas.microsoft.com/office/drawing/2015/06/chart">
            <c:ext xmlns:c16="http://schemas.microsoft.com/office/drawing/2014/chart" uri="{C3380CC4-5D6E-409C-BE32-E72D297353CC}">
              <c16:uniqueId val="{00000000-BC49-284D-8DB5-DD59C132954E}"/>
            </c:ext>
          </c:extLst>
        </c:ser>
        <c:dLbls>
          <c:showLegendKey val="0"/>
          <c:showVal val="0"/>
          <c:showCatName val="0"/>
          <c:showSerName val="0"/>
          <c:showPercent val="0"/>
          <c:showBubbleSize val="0"/>
        </c:dLbls>
        <c:gapWidth val="150"/>
        <c:axId val="326793112"/>
        <c:axId val="326793504"/>
      </c:barChart>
      <c:catAx>
        <c:axId val="326793112"/>
        <c:scaling>
          <c:orientation val="minMax"/>
        </c:scaling>
        <c:delete val="0"/>
        <c:axPos val="b"/>
        <c:numFmt formatCode="General" sourceLinked="0"/>
        <c:majorTickMark val="out"/>
        <c:minorTickMark val="none"/>
        <c:tickLblPos val="nextTo"/>
        <c:crossAx val="326793504"/>
        <c:crosses val="autoZero"/>
        <c:auto val="1"/>
        <c:lblAlgn val="ctr"/>
        <c:lblOffset val="100"/>
        <c:noMultiLvlLbl val="0"/>
      </c:catAx>
      <c:valAx>
        <c:axId val="326793504"/>
        <c:scaling>
          <c:orientation val="minMax"/>
        </c:scaling>
        <c:delete val="0"/>
        <c:axPos val="l"/>
        <c:title>
          <c:tx>
            <c:rich>
              <a:bodyPr rot="-5400000" vert="horz"/>
              <a:lstStyle/>
              <a:p>
                <a:pPr>
                  <a:defRPr b="0"/>
                </a:pPr>
                <a:r>
                  <a:rPr lang="en-US" b="0"/>
                  <a:t>Number of overseas born</a:t>
                </a:r>
              </a:p>
            </c:rich>
          </c:tx>
          <c:overlay val="0"/>
        </c:title>
        <c:numFmt formatCode="_-* #,##0_-;\-* #,##0_-;_-* &quot;-&quot;??_-;_-@_-" sourceLinked="1"/>
        <c:majorTickMark val="out"/>
        <c:minorTickMark val="none"/>
        <c:tickLblPos val="nextTo"/>
        <c:crossAx val="32679311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Ref>
              <c:f>'Chart 3.2'!$O$3:$O$19</c:f>
              <c:strCache>
                <c:ptCount val="17"/>
                <c:pt idx="0">
                  <c:v>Darwin (C)</c:v>
                </c:pt>
                <c:pt idx="1">
                  <c:v>Alice Springs (T)</c:v>
                </c:pt>
                <c:pt idx="2">
                  <c:v>Palmerston (C)</c:v>
                </c:pt>
                <c:pt idx="3">
                  <c:v>Wagait (S)</c:v>
                </c:pt>
                <c:pt idx="4">
                  <c:v>Litchfield (M)</c:v>
                </c:pt>
                <c:pt idx="5">
                  <c:v>Coomalie (S)</c:v>
                </c:pt>
                <c:pt idx="6">
                  <c:v>Katherine (T)</c:v>
                </c:pt>
                <c:pt idx="7">
                  <c:v>Barkly (R)</c:v>
                </c:pt>
                <c:pt idx="8">
                  <c:v>West Arnhem (R)</c:v>
                </c:pt>
                <c:pt idx="9">
                  <c:v>Victoria Daly (R)</c:v>
                </c:pt>
                <c:pt idx="10">
                  <c:v>Roper Gulf (R)</c:v>
                </c:pt>
                <c:pt idx="11">
                  <c:v>Tiwi Islands (R)</c:v>
                </c:pt>
                <c:pt idx="12">
                  <c:v>MacDonnell (R)</c:v>
                </c:pt>
                <c:pt idx="13">
                  <c:v>Central Desert (R)</c:v>
                </c:pt>
                <c:pt idx="14">
                  <c:v>East Arnhem (R)</c:v>
                </c:pt>
                <c:pt idx="15">
                  <c:v>West Daly (R)</c:v>
                </c:pt>
                <c:pt idx="16">
                  <c:v>Belyuen (S)</c:v>
                </c:pt>
              </c:strCache>
            </c:strRef>
          </c:cat>
          <c:val>
            <c:numRef>
              <c:f>'Chart 3.2'!$Q$3:$Q$19</c:f>
              <c:numCache>
                <c:formatCode>0</c:formatCode>
                <c:ptCount val="17"/>
                <c:pt idx="0">
                  <c:v>31.670452670719172</c:v>
                </c:pt>
                <c:pt idx="1">
                  <c:v>23.417235667245766</c:v>
                </c:pt>
                <c:pt idx="2">
                  <c:v>20.271710175812466</c:v>
                </c:pt>
                <c:pt idx="3">
                  <c:v>17.608695652173914</c:v>
                </c:pt>
                <c:pt idx="4">
                  <c:v>12.696483212474327</c:v>
                </c:pt>
                <c:pt idx="5">
                  <c:v>12.063732928679819</c:v>
                </c:pt>
                <c:pt idx="6">
                  <c:v>11.925095174400658</c:v>
                </c:pt>
                <c:pt idx="7">
                  <c:v>7.5894198978058309</c:v>
                </c:pt>
                <c:pt idx="8">
                  <c:v>3.9728682170542635</c:v>
                </c:pt>
                <c:pt idx="9">
                  <c:v>3.339253996447602</c:v>
                </c:pt>
                <c:pt idx="10">
                  <c:v>3.1519065190651911</c:v>
                </c:pt>
                <c:pt idx="11">
                  <c:v>2.8548123980424145</c:v>
                </c:pt>
                <c:pt idx="12">
                  <c:v>2.8021886917592438</c:v>
                </c:pt>
                <c:pt idx="13">
                  <c:v>2.7505446623093679</c:v>
                </c:pt>
                <c:pt idx="14">
                  <c:v>1.5289164635497452</c:v>
                </c:pt>
                <c:pt idx="15">
                  <c:v>1.1682980738869593</c:v>
                </c:pt>
                <c:pt idx="16">
                  <c:v>0</c:v>
                </c:pt>
              </c:numCache>
            </c:numRef>
          </c:val>
          <c:extLst xmlns:c16r2="http://schemas.microsoft.com/office/drawing/2015/06/chart">
            <c:ext xmlns:c16="http://schemas.microsoft.com/office/drawing/2014/chart" uri="{C3380CC4-5D6E-409C-BE32-E72D297353CC}">
              <c16:uniqueId val="{00000000-D9E1-4648-A45F-4EF41CF68918}"/>
            </c:ext>
          </c:extLst>
        </c:ser>
        <c:dLbls>
          <c:showLegendKey val="0"/>
          <c:showVal val="0"/>
          <c:showCatName val="0"/>
          <c:showSerName val="0"/>
          <c:showPercent val="0"/>
          <c:showBubbleSize val="0"/>
        </c:dLbls>
        <c:gapWidth val="150"/>
        <c:axId val="326794288"/>
        <c:axId val="326794680"/>
      </c:barChart>
      <c:catAx>
        <c:axId val="326794288"/>
        <c:scaling>
          <c:orientation val="minMax"/>
        </c:scaling>
        <c:delete val="0"/>
        <c:axPos val="b"/>
        <c:numFmt formatCode="General" sourceLinked="0"/>
        <c:majorTickMark val="out"/>
        <c:minorTickMark val="none"/>
        <c:tickLblPos val="nextTo"/>
        <c:crossAx val="326794680"/>
        <c:crosses val="autoZero"/>
        <c:auto val="1"/>
        <c:lblAlgn val="ctr"/>
        <c:lblOffset val="100"/>
        <c:noMultiLvlLbl val="0"/>
      </c:catAx>
      <c:valAx>
        <c:axId val="326794680"/>
        <c:scaling>
          <c:orientation val="minMax"/>
        </c:scaling>
        <c:delete val="0"/>
        <c:axPos val="l"/>
        <c:title>
          <c:tx>
            <c:rich>
              <a:bodyPr rot="-5400000" vert="horz"/>
              <a:lstStyle/>
              <a:p>
                <a:pPr>
                  <a:defRPr b="0"/>
                </a:pPr>
                <a:r>
                  <a:rPr lang="en-US" b="0"/>
                  <a:t>% of population overseas born</a:t>
                </a:r>
              </a:p>
            </c:rich>
          </c:tx>
          <c:overlay val="0"/>
        </c:title>
        <c:numFmt formatCode="0" sourceLinked="1"/>
        <c:majorTickMark val="out"/>
        <c:minorTickMark val="none"/>
        <c:tickLblPos val="nextTo"/>
        <c:crossAx val="32679428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5"/>
              <c:pt idx="0">
                <c:v>Darwin (C)</c:v>
              </c:pt>
              <c:pt idx="1">
                <c:v>Palmerston (C)</c:v>
              </c:pt>
              <c:pt idx="2">
                <c:v>Litchfield (M)</c:v>
              </c:pt>
              <c:pt idx="3">
                <c:v>Alice Springs (T)</c:v>
              </c:pt>
              <c:pt idx="4">
                <c:v>Katherine (T)</c:v>
              </c:pt>
            </c:strLit>
          </c:cat>
          <c:val>
            <c:numLit>
              <c:formatCode>General</c:formatCode>
              <c:ptCount val="5"/>
              <c:pt idx="0">
                <c:v>34.519956899999997</c:v>
              </c:pt>
              <c:pt idx="1">
                <c:v>18.834951499999999</c:v>
              </c:pt>
              <c:pt idx="2">
                <c:v>17.799352800000001</c:v>
              </c:pt>
              <c:pt idx="3">
                <c:v>10.075512399999999</c:v>
              </c:pt>
              <c:pt idx="4">
                <c:v>3.3441207999999998</c:v>
              </c:pt>
            </c:numLit>
          </c:val>
          <c:extLst xmlns:c16r2="http://schemas.microsoft.com/office/drawing/2015/06/chart">
            <c:ext xmlns:c16="http://schemas.microsoft.com/office/drawing/2014/chart" uri="{C3380CC4-5D6E-409C-BE32-E72D297353CC}">
              <c16:uniqueId val="{00000000-E370-D048-A78B-F309A34AC1D2}"/>
            </c:ext>
          </c:extLst>
        </c:ser>
        <c:dLbls>
          <c:showLegendKey val="0"/>
          <c:showVal val="0"/>
          <c:showCatName val="0"/>
          <c:showSerName val="0"/>
          <c:showPercent val="0"/>
          <c:showBubbleSize val="0"/>
        </c:dLbls>
        <c:gapWidth val="150"/>
        <c:axId val="326796248"/>
        <c:axId val="326796640"/>
      </c:barChart>
      <c:catAx>
        <c:axId val="326796248"/>
        <c:scaling>
          <c:orientation val="minMax"/>
        </c:scaling>
        <c:delete val="0"/>
        <c:axPos val="b"/>
        <c:numFmt formatCode="General" sourceLinked="0"/>
        <c:majorTickMark val="out"/>
        <c:minorTickMark val="none"/>
        <c:tickLblPos val="nextTo"/>
        <c:crossAx val="326796640"/>
        <c:crosses val="autoZero"/>
        <c:auto val="1"/>
        <c:lblAlgn val="ctr"/>
        <c:lblOffset val="100"/>
        <c:noMultiLvlLbl val="0"/>
      </c:catAx>
      <c:valAx>
        <c:axId val="326796640"/>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67962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3"/>
              <c:pt idx="0">
                <c:v>Darwin (C)</c:v>
              </c:pt>
              <c:pt idx="1">
                <c:v>Litchfield (M)</c:v>
              </c:pt>
              <c:pt idx="2">
                <c:v>Palmerston (C)</c:v>
              </c:pt>
            </c:strLit>
          </c:cat>
          <c:val>
            <c:numLit>
              <c:formatCode>General</c:formatCode>
              <c:ptCount val="3"/>
              <c:pt idx="0">
                <c:v>68.376068399999994</c:v>
              </c:pt>
              <c:pt idx="1">
                <c:v>18.803418799999999</c:v>
              </c:pt>
              <c:pt idx="2">
                <c:v>9.6866097</c:v>
              </c:pt>
            </c:numLit>
          </c:val>
          <c:extLst xmlns:c16r2="http://schemas.microsoft.com/office/drawing/2015/06/chart">
            <c:ext xmlns:c16="http://schemas.microsoft.com/office/drawing/2014/chart" uri="{C3380CC4-5D6E-409C-BE32-E72D297353CC}">
              <c16:uniqueId val="{00000000-526C-A346-AA1E-D83FC115C6BC}"/>
            </c:ext>
          </c:extLst>
        </c:ser>
        <c:dLbls>
          <c:showLegendKey val="0"/>
          <c:showVal val="0"/>
          <c:showCatName val="0"/>
          <c:showSerName val="0"/>
          <c:showPercent val="0"/>
          <c:showBubbleSize val="0"/>
        </c:dLbls>
        <c:gapWidth val="150"/>
        <c:axId val="326033848"/>
        <c:axId val="326034240"/>
      </c:barChart>
      <c:catAx>
        <c:axId val="326033848"/>
        <c:scaling>
          <c:orientation val="minMax"/>
        </c:scaling>
        <c:delete val="0"/>
        <c:axPos val="b"/>
        <c:numFmt formatCode="General" sourceLinked="0"/>
        <c:majorTickMark val="out"/>
        <c:minorTickMark val="none"/>
        <c:tickLblPos val="nextTo"/>
        <c:crossAx val="326034240"/>
        <c:crosses val="autoZero"/>
        <c:auto val="1"/>
        <c:lblAlgn val="ctr"/>
        <c:lblOffset val="100"/>
        <c:noMultiLvlLbl val="0"/>
      </c:catAx>
      <c:valAx>
        <c:axId val="326034240"/>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60338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4"/>
              <c:pt idx="0">
                <c:v>Darwin (C)</c:v>
              </c:pt>
              <c:pt idx="1">
                <c:v>Litchfield (M)</c:v>
              </c:pt>
              <c:pt idx="2">
                <c:v>Palmerston (C)</c:v>
              </c:pt>
              <c:pt idx="3">
                <c:v>Alice Springs (T)</c:v>
              </c:pt>
            </c:strLit>
          </c:cat>
          <c:val>
            <c:numLit>
              <c:formatCode>General</c:formatCode>
              <c:ptCount val="4"/>
              <c:pt idx="0">
                <c:v>42.7135678</c:v>
              </c:pt>
              <c:pt idx="1">
                <c:v>23.283082100000001</c:v>
              </c:pt>
              <c:pt idx="2">
                <c:v>9.2127303000000005</c:v>
              </c:pt>
              <c:pt idx="3">
                <c:v>8.2077051999999995</c:v>
              </c:pt>
            </c:numLit>
          </c:val>
          <c:extLst xmlns:c16r2="http://schemas.microsoft.com/office/drawing/2015/06/chart">
            <c:ext xmlns:c16="http://schemas.microsoft.com/office/drawing/2014/chart" uri="{C3380CC4-5D6E-409C-BE32-E72D297353CC}">
              <c16:uniqueId val="{00000000-12A8-0946-9BAB-091EFCBA59A2}"/>
            </c:ext>
          </c:extLst>
        </c:ser>
        <c:dLbls>
          <c:showLegendKey val="0"/>
          <c:showVal val="0"/>
          <c:showCatName val="0"/>
          <c:showSerName val="0"/>
          <c:showPercent val="0"/>
          <c:showBubbleSize val="0"/>
        </c:dLbls>
        <c:gapWidth val="150"/>
        <c:axId val="326035024"/>
        <c:axId val="326035416"/>
      </c:barChart>
      <c:catAx>
        <c:axId val="326035024"/>
        <c:scaling>
          <c:orientation val="minMax"/>
        </c:scaling>
        <c:delete val="0"/>
        <c:axPos val="b"/>
        <c:numFmt formatCode="General" sourceLinked="0"/>
        <c:majorTickMark val="out"/>
        <c:minorTickMark val="none"/>
        <c:tickLblPos val="nextTo"/>
        <c:crossAx val="326035416"/>
        <c:crosses val="autoZero"/>
        <c:auto val="1"/>
        <c:lblAlgn val="ctr"/>
        <c:lblOffset val="100"/>
        <c:noMultiLvlLbl val="0"/>
      </c:catAx>
      <c:valAx>
        <c:axId val="326035416"/>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60350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35479154491164"/>
          <c:y val="4.359538405813352E-2"/>
          <c:w val="0.84538210656628821"/>
          <c:h val="0.79131558148811865"/>
        </c:manualLayout>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4"/>
              <c:pt idx="0">
                <c:v>Darwin (C)</c:v>
              </c:pt>
              <c:pt idx="1">
                <c:v>Alice Springs (T)</c:v>
              </c:pt>
              <c:pt idx="2">
                <c:v>Litchfield (M)</c:v>
              </c:pt>
              <c:pt idx="3">
                <c:v>Palmerston (C)</c:v>
              </c:pt>
            </c:strLit>
          </c:cat>
          <c:val>
            <c:numLit>
              <c:formatCode>General</c:formatCode>
              <c:ptCount val="4"/>
              <c:pt idx="0">
                <c:v>50.588235300000001</c:v>
              </c:pt>
              <c:pt idx="1">
                <c:v>17.860962600000001</c:v>
              </c:pt>
              <c:pt idx="2">
                <c:v>13.7967914</c:v>
              </c:pt>
              <c:pt idx="3">
                <c:v>8.0213903999999996</c:v>
              </c:pt>
            </c:numLit>
          </c:val>
          <c:extLst xmlns:c16r2="http://schemas.microsoft.com/office/drawing/2015/06/chart">
            <c:ext xmlns:c16="http://schemas.microsoft.com/office/drawing/2014/chart" uri="{C3380CC4-5D6E-409C-BE32-E72D297353CC}">
              <c16:uniqueId val="{00000000-A2A0-7B4B-8541-C87B6467E765}"/>
            </c:ext>
          </c:extLst>
        </c:ser>
        <c:dLbls>
          <c:showLegendKey val="0"/>
          <c:showVal val="0"/>
          <c:showCatName val="0"/>
          <c:showSerName val="0"/>
          <c:showPercent val="0"/>
          <c:showBubbleSize val="0"/>
        </c:dLbls>
        <c:gapWidth val="150"/>
        <c:axId val="326036200"/>
        <c:axId val="326036592"/>
      </c:barChart>
      <c:catAx>
        <c:axId val="326036200"/>
        <c:scaling>
          <c:orientation val="minMax"/>
        </c:scaling>
        <c:delete val="0"/>
        <c:axPos val="b"/>
        <c:numFmt formatCode="General" sourceLinked="0"/>
        <c:majorTickMark val="out"/>
        <c:minorTickMark val="none"/>
        <c:tickLblPos val="nextTo"/>
        <c:crossAx val="326036592"/>
        <c:crosses val="autoZero"/>
        <c:auto val="1"/>
        <c:lblAlgn val="ctr"/>
        <c:lblOffset val="100"/>
        <c:noMultiLvlLbl val="0"/>
      </c:catAx>
      <c:valAx>
        <c:axId val="326036592"/>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603620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5"/>
              <c:pt idx="0">
                <c:v>Darwin (C)</c:v>
              </c:pt>
              <c:pt idx="1">
                <c:v>Litchfield (M)</c:v>
              </c:pt>
              <c:pt idx="2">
                <c:v>Palmerston (C)</c:v>
              </c:pt>
              <c:pt idx="3">
                <c:v>Alice Springs (T)</c:v>
              </c:pt>
              <c:pt idx="4">
                <c:v>Katherine (T)</c:v>
              </c:pt>
            </c:strLit>
          </c:cat>
          <c:val>
            <c:numLit>
              <c:formatCode>General</c:formatCode>
              <c:ptCount val="5"/>
              <c:pt idx="0">
                <c:v>56.9181326</c:v>
              </c:pt>
              <c:pt idx="1">
                <c:v>23.037889</c:v>
              </c:pt>
              <c:pt idx="2">
                <c:v>8.2036536000000009</c:v>
              </c:pt>
              <c:pt idx="3">
                <c:v>3.8396482000000001</c:v>
              </c:pt>
              <c:pt idx="4">
                <c:v>3.6705006999999998</c:v>
              </c:pt>
            </c:numLit>
          </c:val>
          <c:extLst xmlns:c16r2="http://schemas.microsoft.com/office/drawing/2015/06/chart">
            <c:ext xmlns:c16="http://schemas.microsoft.com/office/drawing/2014/chart" uri="{C3380CC4-5D6E-409C-BE32-E72D297353CC}">
              <c16:uniqueId val="{00000000-400B-804D-8A1E-E87F14319A80}"/>
            </c:ext>
          </c:extLst>
        </c:ser>
        <c:dLbls>
          <c:showLegendKey val="0"/>
          <c:showVal val="0"/>
          <c:showCatName val="0"/>
          <c:showSerName val="0"/>
          <c:showPercent val="0"/>
          <c:showBubbleSize val="0"/>
        </c:dLbls>
        <c:gapWidth val="150"/>
        <c:axId val="327301328"/>
        <c:axId val="327301720"/>
      </c:barChart>
      <c:catAx>
        <c:axId val="327301328"/>
        <c:scaling>
          <c:orientation val="minMax"/>
        </c:scaling>
        <c:delete val="0"/>
        <c:axPos val="b"/>
        <c:numFmt formatCode="General" sourceLinked="0"/>
        <c:majorTickMark val="out"/>
        <c:minorTickMark val="none"/>
        <c:tickLblPos val="nextTo"/>
        <c:crossAx val="327301720"/>
        <c:crosses val="autoZero"/>
        <c:auto val="1"/>
        <c:lblAlgn val="ctr"/>
        <c:lblOffset val="100"/>
        <c:noMultiLvlLbl val="0"/>
      </c:catAx>
      <c:valAx>
        <c:axId val="327301720"/>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730132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5"/>
              <c:pt idx="0">
                <c:v>Darwin (C)</c:v>
              </c:pt>
              <c:pt idx="1">
                <c:v>Litchfield (M)</c:v>
              </c:pt>
              <c:pt idx="2">
                <c:v>Palmerston (C)</c:v>
              </c:pt>
              <c:pt idx="3">
                <c:v>Alice Springs (T)</c:v>
              </c:pt>
              <c:pt idx="4">
                <c:v>Katherine (T)</c:v>
              </c:pt>
            </c:strLit>
          </c:cat>
          <c:val>
            <c:numLit>
              <c:formatCode>General</c:formatCode>
              <c:ptCount val="5"/>
              <c:pt idx="0">
                <c:v>48.853868200000001</c:v>
              </c:pt>
              <c:pt idx="1">
                <c:v>15.6160458</c:v>
              </c:pt>
              <c:pt idx="2">
                <c:v>12.607449900000001</c:v>
              </c:pt>
              <c:pt idx="3">
                <c:v>11.174785099999999</c:v>
              </c:pt>
              <c:pt idx="4">
                <c:v>3.5816618999999998</c:v>
              </c:pt>
            </c:numLit>
          </c:val>
          <c:extLst xmlns:c16r2="http://schemas.microsoft.com/office/drawing/2015/06/chart">
            <c:ext xmlns:c16="http://schemas.microsoft.com/office/drawing/2014/chart" uri="{C3380CC4-5D6E-409C-BE32-E72D297353CC}">
              <c16:uniqueId val="{00000000-C5EA-6B4F-90AC-971ADDACAD72}"/>
            </c:ext>
          </c:extLst>
        </c:ser>
        <c:dLbls>
          <c:showLegendKey val="0"/>
          <c:showVal val="0"/>
          <c:showCatName val="0"/>
          <c:showSerName val="0"/>
          <c:showPercent val="0"/>
          <c:showBubbleSize val="0"/>
        </c:dLbls>
        <c:gapWidth val="150"/>
        <c:axId val="327302504"/>
        <c:axId val="327302896"/>
      </c:barChart>
      <c:catAx>
        <c:axId val="327302504"/>
        <c:scaling>
          <c:orientation val="minMax"/>
        </c:scaling>
        <c:delete val="0"/>
        <c:axPos val="b"/>
        <c:numFmt formatCode="General" sourceLinked="0"/>
        <c:majorTickMark val="out"/>
        <c:minorTickMark val="none"/>
        <c:tickLblPos val="nextTo"/>
        <c:crossAx val="327302896"/>
        <c:crosses val="autoZero"/>
        <c:auto val="1"/>
        <c:lblAlgn val="ctr"/>
        <c:lblOffset val="100"/>
        <c:noMultiLvlLbl val="0"/>
      </c:catAx>
      <c:valAx>
        <c:axId val="327302896"/>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730250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4"/>
              <c:pt idx="0">
                <c:v>Darwin (C)</c:v>
              </c:pt>
              <c:pt idx="1">
                <c:v>Litchfield (M)</c:v>
              </c:pt>
              <c:pt idx="2">
                <c:v>Palmerston (C)</c:v>
              </c:pt>
              <c:pt idx="3">
                <c:v>Alice Springs (T)</c:v>
              </c:pt>
            </c:strLit>
          </c:cat>
          <c:val>
            <c:numLit>
              <c:formatCode>General</c:formatCode>
              <c:ptCount val="4"/>
              <c:pt idx="0">
                <c:v>68.75</c:v>
              </c:pt>
              <c:pt idx="1">
                <c:v>12.171052599999999</c:v>
              </c:pt>
              <c:pt idx="2">
                <c:v>9.5394737000000003</c:v>
              </c:pt>
              <c:pt idx="3">
                <c:v>4.9342104999999998</c:v>
              </c:pt>
            </c:numLit>
          </c:val>
          <c:extLst xmlns:c16r2="http://schemas.microsoft.com/office/drawing/2015/06/chart">
            <c:ext xmlns:c16="http://schemas.microsoft.com/office/drawing/2014/chart" uri="{C3380CC4-5D6E-409C-BE32-E72D297353CC}">
              <c16:uniqueId val="{00000000-A5C5-154A-9513-82513EAA6489}"/>
            </c:ext>
          </c:extLst>
        </c:ser>
        <c:dLbls>
          <c:showLegendKey val="0"/>
          <c:showVal val="0"/>
          <c:showCatName val="0"/>
          <c:showSerName val="0"/>
          <c:showPercent val="0"/>
          <c:showBubbleSize val="0"/>
        </c:dLbls>
        <c:gapWidth val="150"/>
        <c:axId val="327303680"/>
        <c:axId val="327304072"/>
      </c:barChart>
      <c:catAx>
        <c:axId val="327303680"/>
        <c:scaling>
          <c:orientation val="minMax"/>
        </c:scaling>
        <c:delete val="0"/>
        <c:axPos val="b"/>
        <c:numFmt formatCode="General" sourceLinked="0"/>
        <c:majorTickMark val="out"/>
        <c:minorTickMark val="none"/>
        <c:tickLblPos val="nextTo"/>
        <c:crossAx val="327304072"/>
        <c:crosses val="autoZero"/>
        <c:auto val="1"/>
        <c:lblAlgn val="ctr"/>
        <c:lblOffset val="100"/>
        <c:noMultiLvlLbl val="0"/>
      </c:catAx>
      <c:valAx>
        <c:axId val="327304072"/>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730368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3829604490624526"/>
          <c:y val="0.11261335705439227"/>
          <c:w val="0.64880659149503428"/>
          <c:h val="0.39130738005802779"/>
        </c:manualLayout>
      </c:layout>
      <c:barChart>
        <c:barDir val="bar"/>
        <c:grouping val="percentStacked"/>
        <c:varyColors val="0"/>
        <c:ser>
          <c:idx val="0"/>
          <c:order val="0"/>
          <c:tx>
            <c:strRef>
              <c:f>'3.3 Barkly'!$B$8</c:f>
              <c:strCache>
                <c:ptCount val="1"/>
                <c:pt idx="0">
                  <c:v>Australian born</c:v>
                </c:pt>
              </c:strCache>
            </c:strRef>
          </c:tx>
          <c:spPr>
            <a:solidFill>
              <a:schemeClr val="dk1">
                <a:tint val="88500"/>
              </a:schemeClr>
            </a:solidFill>
            <a:ln w="19050">
              <a:solidFill>
                <a:schemeClr val="lt1"/>
              </a:solidFill>
            </a:ln>
            <a:effectLst/>
          </c:spPr>
          <c:invertIfNegative val="0"/>
          <c:cat>
            <c:strRef>
              <c:f>'3.3 Barkly'!$C$7</c:f>
              <c:strCache>
                <c:ptCount val="1"/>
                <c:pt idx="0">
                  <c:v>% of population</c:v>
                </c:pt>
              </c:strCache>
            </c:strRef>
          </c:cat>
          <c:val>
            <c:numRef>
              <c:f>'3.3 Barkly'!$C$8</c:f>
              <c:numCache>
                <c:formatCode>0%</c:formatCode>
                <c:ptCount val="1"/>
                <c:pt idx="0">
                  <c:v>0.84911331529906819</c:v>
                </c:pt>
              </c:numCache>
            </c:numRef>
          </c:val>
          <c:extLst xmlns:c16r2="http://schemas.microsoft.com/office/drawing/2015/06/chart">
            <c:ext xmlns:c16="http://schemas.microsoft.com/office/drawing/2014/chart" uri="{C3380CC4-5D6E-409C-BE32-E72D297353CC}">
              <c16:uniqueId val="{00000000-8EC5-6A4E-AFA4-1C6D31FE90B3}"/>
            </c:ext>
          </c:extLst>
        </c:ser>
        <c:ser>
          <c:idx val="1"/>
          <c:order val="1"/>
          <c:tx>
            <c:strRef>
              <c:f>'3.3 Barkly'!$B$9</c:f>
              <c:strCache>
                <c:ptCount val="1"/>
                <c:pt idx="0">
                  <c:v>Birthplace not stated</c:v>
                </c:pt>
              </c:strCache>
            </c:strRef>
          </c:tx>
          <c:spPr>
            <a:solidFill>
              <a:schemeClr val="dk1">
                <a:tint val="55000"/>
              </a:schemeClr>
            </a:solidFill>
            <a:ln w="19050">
              <a:solidFill>
                <a:schemeClr val="lt1"/>
              </a:solidFill>
            </a:ln>
            <a:effectLst/>
          </c:spPr>
          <c:invertIfNegative val="0"/>
          <c:cat>
            <c:strRef>
              <c:f>'3.3 Barkly'!$C$7</c:f>
              <c:strCache>
                <c:ptCount val="1"/>
                <c:pt idx="0">
                  <c:v>% of population</c:v>
                </c:pt>
              </c:strCache>
            </c:strRef>
          </c:cat>
          <c:val>
            <c:numRef>
              <c:f>'3.3 Barkly'!$C$9</c:f>
              <c:numCache>
                <c:formatCode>0%</c:formatCode>
                <c:ptCount val="1"/>
                <c:pt idx="0">
                  <c:v>7.5293056807935077E-2</c:v>
                </c:pt>
              </c:numCache>
            </c:numRef>
          </c:val>
          <c:extLst xmlns:c16r2="http://schemas.microsoft.com/office/drawing/2015/06/chart">
            <c:ext xmlns:c16="http://schemas.microsoft.com/office/drawing/2014/chart" uri="{C3380CC4-5D6E-409C-BE32-E72D297353CC}">
              <c16:uniqueId val="{00000001-8EC5-6A4E-AFA4-1C6D31FE90B3}"/>
            </c:ext>
          </c:extLst>
        </c:ser>
        <c:ser>
          <c:idx val="2"/>
          <c:order val="2"/>
          <c:tx>
            <c:v>Overseas born - MESC</c:v>
          </c:tx>
          <c:spPr>
            <a:solidFill>
              <a:schemeClr val="dk1">
                <a:tint val="75000"/>
              </a:schemeClr>
            </a:solidFill>
            <a:ln w="19050">
              <a:solidFill>
                <a:schemeClr val="lt1"/>
              </a:solidFill>
            </a:ln>
            <a:effectLst/>
          </c:spPr>
          <c:invertIfNegative val="0"/>
          <c:cat>
            <c:strRef>
              <c:f>'3.3 Barkly'!$C$7</c:f>
              <c:strCache>
                <c:ptCount val="1"/>
                <c:pt idx="0">
                  <c:v>% of population</c:v>
                </c:pt>
              </c:strCache>
            </c:strRef>
          </c:cat>
          <c:val>
            <c:numRef>
              <c:f>'3.3 Barkly'!$C$10</c:f>
              <c:numCache>
                <c:formatCode>0%</c:formatCode>
                <c:ptCount val="1"/>
                <c:pt idx="0">
                  <c:v>2.660054102795311E-2</c:v>
                </c:pt>
              </c:numCache>
            </c:numRef>
          </c:val>
          <c:extLst xmlns:c16r2="http://schemas.microsoft.com/office/drawing/2015/06/chart">
            <c:ext xmlns:c16="http://schemas.microsoft.com/office/drawing/2014/chart" uri="{C3380CC4-5D6E-409C-BE32-E72D297353CC}">
              <c16:uniqueId val="{00000002-8EC5-6A4E-AFA4-1C6D31FE90B3}"/>
            </c:ext>
          </c:extLst>
        </c:ser>
        <c:ser>
          <c:idx val="3"/>
          <c:order val="3"/>
          <c:tx>
            <c:strRef>
              <c:f>'3.3 Barkly'!$B$11</c:f>
              <c:strCache>
                <c:ptCount val="1"/>
                <c:pt idx="0">
                  <c:v>Overseas born - NMESC</c:v>
                </c:pt>
              </c:strCache>
            </c:strRef>
          </c:tx>
          <c:spPr>
            <a:solidFill>
              <a:schemeClr val="dk1">
                <a:tint val="98500"/>
              </a:schemeClr>
            </a:solidFill>
            <a:ln w="19050">
              <a:solidFill>
                <a:schemeClr val="lt1"/>
              </a:solidFill>
            </a:ln>
            <a:effectLst/>
          </c:spPr>
          <c:invertIfNegative val="0"/>
          <c:cat>
            <c:strRef>
              <c:f>'3.3 Barkly'!$C$7</c:f>
              <c:strCache>
                <c:ptCount val="1"/>
                <c:pt idx="0">
                  <c:v>% of population</c:v>
                </c:pt>
              </c:strCache>
            </c:strRef>
          </c:cat>
          <c:val>
            <c:numRef>
              <c:f>'3.3 Barkly'!$C$11</c:f>
              <c:numCache>
                <c:formatCode>0%</c:formatCode>
                <c:ptCount val="1"/>
                <c:pt idx="0">
                  <c:v>4.9143372407574389E-2</c:v>
                </c:pt>
              </c:numCache>
            </c:numRef>
          </c:val>
          <c:extLst xmlns:c16r2="http://schemas.microsoft.com/office/drawing/2015/06/chart">
            <c:ext xmlns:c16="http://schemas.microsoft.com/office/drawing/2014/chart" uri="{C3380CC4-5D6E-409C-BE32-E72D297353CC}">
              <c16:uniqueId val="{00000003-8EC5-6A4E-AFA4-1C6D31FE90B3}"/>
            </c:ext>
          </c:extLst>
        </c:ser>
        <c:dLbls>
          <c:showLegendKey val="0"/>
          <c:showVal val="0"/>
          <c:showCatName val="0"/>
          <c:showSerName val="0"/>
          <c:showPercent val="0"/>
          <c:showBubbleSize val="0"/>
        </c:dLbls>
        <c:gapWidth val="51"/>
        <c:overlap val="100"/>
        <c:axId val="317755400"/>
        <c:axId val="317755016"/>
      </c:barChart>
      <c:valAx>
        <c:axId val="317755016"/>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17755400"/>
        <c:crosses val="autoZero"/>
        <c:crossBetween val="between"/>
        <c:minorUnit val="0.25"/>
      </c:valAx>
      <c:catAx>
        <c:axId val="317755400"/>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17755016"/>
        <c:crosses val="autoZero"/>
        <c:auto val="1"/>
        <c:lblAlgn val="ctr"/>
        <c:lblOffset val="100"/>
        <c:noMultiLvlLbl val="0"/>
      </c:catAx>
      <c:spPr>
        <a:noFill/>
        <a:ln>
          <a:noFill/>
        </a:ln>
        <a:effectLst/>
      </c:spPr>
    </c:plotArea>
    <c:legend>
      <c:legendPos val="b"/>
      <c:layout>
        <c:manualLayout>
          <c:xMode val="edge"/>
          <c:yMode val="edge"/>
          <c:x val="5.6672514381298309E-3"/>
          <c:y val="0.73724780931813394"/>
          <c:w val="0.97312145567296315"/>
          <c:h val="0.226166807262726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35479154491164"/>
          <c:y val="4.359538405813352E-2"/>
          <c:w val="0.84538210656628821"/>
          <c:h val="0.79131558148811865"/>
        </c:manualLayout>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4"/>
              <c:pt idx="0">
                <c:v>Darwin (C)</c:v>
              </c:pt>
              <c:pt idx="1">
                <c:v>Litchfield (M)</c:v>
              </c:pt>
              <c:pt idx="2">
                <c:v>Palmerston (C)</c:v>
              </c:pt>
              <c:pt idx="3">
                <c:v>Alice Springs (T)</c:v>
              </c:pt>
            </c:strLit>
          </c:cat>
          <c:val>
            <c:numLit>
              <c:formatCode>General</c:formatCode>
              <c:ptCount val="4"/>
              <c:pt idx="0">
                <c:v>38.920135000000002</c:v>
              </c:pt>
              <c:pt idx="1">
                <c:v>22.0472441</c:v>
              </c:pt>
              <c:pt idx="2">
                <c:v>16.310461199999999</c:v>
              </c:pt>
              <c:pt idx="3">
                <c:v>8.7739033000000006</c:v>
              </c:pt>
            </c:numLit>
          </c:val>
          <c:extLst xmlns:c16r2="http://schemas.microsoft.com/office/drawing/2015/06/chart">
            <c:ext xmlns:c16="http://schemas.microsoft.com/office/drawing/2014/chart" uri="{C3380CC4-5D6E-409C-BE32-E72D297353CC}">
              <c16:uniqueId val="{00000000-409D-BA48-AAB4-4C2CA9504AE6}"/>
            </c:ext>
          </c:extLst>
        </c:ser>
        <c:dLbls>
          <c:showLegendKey val="0"/>
          <c:showVal val="0"/>
          <c:showCatName val="0"/>
          <c:showSerName val="0"/>
          <c:showPercent val="0"/>
          <c:showBubbleSize val="0"/>
        </c:dLbls>
        <c:gapWidth val="150"/>
        <c:axId val="327304856"/>
        <c:axId val="327502288"/>
      </c:barChart>
      <c:catAx>
        <c:axId val="327304856"/>
        <c:scaling>
          <c:orientation val="minMax"/>
        </c:scaling>
        <c:delete val="0"/>
        <c:axPos val="b"/>
        <c:numFmt formatCode="General" sourceLinked="0"/>
        <c:majorTickMark val="out"/>
        <c:minorTickMark val="none"/>
        <c:tickLblPos val="nextTo"/>
        <c:crossAx val="327502288"/>
        <c:crosses val="autoZero"/>
        <c:auto val="1"/>
        <c:lblAlgn val="ctr"/>
        <c:lblOffset val="100"/>
        <c:noMultiLvlLbl val="0"/>
      </c:catAx>
      <c:valAx>
        <c:axId val="327502288"/>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730485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4"/>
              <c:pt idx="0">
                <c:v>Darwin (C)</c:v>
              </c:pt>
              <c:pt idx="1">
                <c:v>Palmerston (C)</c:v>
              </c:pt>
              <c:pt idx="2">
                <c:v>Litchfield (M)</c:v>
              </c:pt>
              <c:pt idx="3">
                <c:v>Katherine (T)</c:v>
              </c:pt>
            </c:strLit>
          </c:cat>
          <c:val>
            <c:numLit>
              <c:formatCode>General</c:formatCode>
              <c:ptCount val="4"/>
              <c:pt idx="0">
                <c:v>67.696267700000007</c:v>
              </c:pt>
              <c:pt idx="1">
                <c:v>13.770913800000001</c:v>
              </c:pt>
              <c:pt idx="2">
                <c:v>11.8404118</c:v>
              </c:pt>
              <c:pt idx="3">
                <c:v>3.0888030999999998</c:v>
              </c:pt>
            </c:numLit>
          </c:val>
          <c:extLst xmlns:c16r2="http://schemas.microsoft.com/office/drawing/2015/06/chart">
            <c:ext xmlns:c16="http://schemas.microsoft.com/office/drawing/2014/chart" uri="{C3380CC4-5D6E-409C-BE32-E72D297353CC}">
              <c16:uniqueId val="{00000000-D7EB-3D4F-B44F-0E476C8A1EE2}"/>
            </c:ext>
          </c:extLst>
        </c:ser>
        <c:dLbls>
          <c:showLegendKey val="0"/>
          <c:showVal val="0"/>
          <c:showCatName val="0"/>
          <c:showSerName val="0"/>
          <c:showPercent val="0"/>
          <c:showBubbleSize val="0"/>
        </c:dLbls>
        <c:gapWidth val="150"/>
        <c:axId val="327503072"/>
        <c:axId val="327503464"/>
      </c:barChart>
      <c:catAx>
        <c:axId val="327503072"/>
        <c:scaling>
          <c:orientation val="minMax"/>
        </c:scaling>
        <c:delete val="0"/>
        <c:axPos val="b"/>
        <c:numFmt formatCode="General" sourceLinked="0"/>
        <c:majorTickMark val="out"/>
        <c:minorTickMark val="none"/>
        <c:tickLblPos val="nextTo"/>
        <c:crossAx val="327503464"/>
        <c:crosses val="autoZero"/>
        <c:auto val="1"/>
        <c:lblAlgn val="ctr"/>
        <c:lblOffset val="100"/>
        <c:noMultiLvlLbl val="0"/>
      </c:catAx>
      <c:valAx>
        <c:axId val="327503464"/>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750307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3"/>
              <c:pt idx="0">
                <c:v>Darwin (C)</c:v>
              </c:pt>
              <c:pt idx="1">
                <c:v>Palmerston (C)</c:v>
              </c:pt>
              <c:pt idx="2">
                <c:v>Litchfield (M)</c:v>
              </c:pt>
            </c:strLit>
          </c:cat>
          <c:val>
            <c:numLit>
              <c:formatCode>General</c:formatCode>
              <c:ptCount val="3"/>
              <c:pt idx="0">
                <c:v>66.0828025</c:v>
              </c:pt>
              <c:pt idx="1">
                <c:v>17.038216599999998</c:v>
              </c:pt>
              <c:pt idx="2">
                <c:v>9.0764330999999991</c:v>
              </c:pt>
            </c:numLit>
          </c:val>
          <c:extLst xmlns:c16r2="http://schemas.microsoft.com/office/drawing/2015/06/chart">
            <c:ext xmlns:c16="http://schemas.microsoft.com/office/drawing/2014/chart" uri="{C3380CC4-5D6E-409C-BE32-E72D297353CC}">
              <c16:uniqueId val="{00000000-F8CF-0D41-98F9-DEDAFC4E9B94}"/>
            </c:ext>
          </c:extLst>
        </c:ser>
        <c:dLbls>
          <c:showLegendKey val="0"/>
          <c:showVal val="0"/>
          <c:showCatName val="0"/>
          <c:showSerName val="0"/>
          <c:showPercent val="0"/>
          <c:showBubbleSize val="0"/>
        </c:dLbls>
        <c:gapWidth val="150"/>
        <c:axId val="327504248"/>
        <c:axId val="327504640"/>
      </c:barChart>
      <c:catAx>
        <c:axId val="327504248"/>
        <c:scaling>
          <c:orientation val="minMax"/>
        </c:scaling>
        <c:delete val="0"/>
        <c:axPos val="b"/>
        <c:numFmt formatCode="General" sourceLinked="0"/>
        <c:majorTickMark val="out"/>
        <c:minorTickMark val="none"/>
        <c:tickLblPos val="nextTo"/>
        <c:crossAx val="327504640"/>
        <c:crosses val="autoZero"/>
        <c:auto val="1"/>
        <c:lblAlgn val="ctr"/>
        <c:lblOffset val="100"/>
        <c:noMultiLvlLbl val="0"/>
      </c:catAx>
      <c:valAx>
        <c:axId val="327504640"/>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75042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4"/>
              <c:pt idx="0">
                <c:v>Darwin (C)</c:v>
              </c:pt>
              <c:pt idx="1">
                <c:v>Litchfield (M)</c:v>
              </c:pt>
              <c:pt idx="2">
                <c:v>Alice Springs (T)</c:v>
              </c:pt>
              <c:pt idx="3">
                <c:v>Palmerston (C)</c:v>
              </c:pt>
            </c:strLit>
          </c:cat>
          <c:val>
            <c:numLit>
              <c:formatCode>General</c:formatCode>
              <c:ptCount val="4"/>
              <c:pt idx="0">
                <c:v>55.578727800000003</c:v>
              </c:pt>
              <c:pt idx="1">
                <c:v>18.561001000000001</c:v>
              </c:pt>
              <c:pt idx="2">
                <c:v>9.9061521999999993</c:v>
              </c:pt>
              <c:pt idx="3">
                <c:v>6.4650677999999999</c:v>
              </c:pt>
            </c:numLit>
          </c:val>
          <c:extLst xmlns:c16r2="http://schemas.microsoft.com/office/drawing/2015/06/chart">
            <c:ext xmlns:c16="http://schemas.microsoft.com/office/drawing/2014/chart" uri="{C3380CC4-5D6E-409C-BE32-E72D297353CC}">
              <c16:uniqueId val="{00000000-D880-D342-82F3-A3B80ECA795F}"/>
            </c:ext>
          </c:extLst>
        </c:ser>
        <c:dLbls>
          <c:showLegendKey val="0"/>
          <c:showVal val="0"/>
          <c:showCatName val="0"/>
          <c:showSerName val="0"/>
          <c:showPercent val="0"/>
          <c:showBubbleSize val="0"/>
        </c:dLbls>
        <c:gapWidth val="150"/>
        <c:axId val="327505424"/>
        <c:axId val="327505816"/>
      </c:barChart>
      <c:catAx>
        <c:axId val="327505424"/>
        <c:scaling>
          <c:orientation val="minMax"/>
        </c:scaling>
        <c:delete val="0"/>
        <c:axPos val="b"/>
        <c:numFmt formatCode="General" sourceLinked="0"/>
        <c:majorTickMark val="out"/>
        <c:minorTickMark val="none"/>
        <c:tickLblPos val="nextTo"/>
        <c:crossAx val="327505816"/>
        <c:crosses val="autoZero"/>
        <c:auto val="1"/>
        <c:lblAlgn val="ctr"/>
        <c:lblOffset val="100"/>
        <c:noMultiLvlLbl val="0"/>
      </c:catAx>
      <c:valAx>
        <c:axId val="327505816"/>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750542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35479154491164"/>
          <c:y val="4.359538405813352E-2"/>
          <c:w val="0.84538210656628821"/>
          <c:h val="0.79131558148811865"/>
        </c:manualLayout>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2"/>
              <c:pt idx="0">
                <c:v>Darwin (C)</c:v>
              </c:pt>
              <c:pt idx="1">
                <c:v>Litchfield (M)</c:v>
              </c:pt>
            </c:strLit>
          </c:cat>
          <c:val>
            <c:numLit>
              <c:formatCode>General</c:formatCode>
              <c:ptCount val="2"/>
              <c:pt idx="0">
                <c:v>82.701652100000004</c:v>
              </c:pt>
              <c:pt idx="1">
                <c:v>12.5364431</c:v>
              </c:pt>
            </c:numLit>
          </c:val>
          <c:extLst xmlns:c16r2="http://schemas.microsoft.com/office/drawing/2015/06/chart">
            <c:ext xmlns:c16="http://schemas.microsoft.com/office/drawing/2014/chart" uri="{C3380CC4-5D6E-409C-BE32-E72D297353CC}">
              <c16:uniqueId val="{00000000-99B3-5A49-B706-4B73A60F0B11}"/>
            </c:ext>
          </c:extLst>
        </c:ser>
        <c:dLbls>
          <c:showLegendKey val="0"/>
          <c:showVal val="0"/>
          <c:showCatName val="0"/>
          <c:showSerName val="0"/>
          <c:showPercent val="0"/>
          <c:showBubbleSize val="0"/>
        </c:dLbls>
        <c:gapWidth val="150"/>
        <c:axId val="327595832"/>
        <c:axId val="327596224"/>
      </c:barChart>
      <c:catAx>
        <c:axId val="327595832"/>
        <c:scaling>
          <c:orientation val="minMax"/>
        </c:scaling>
        <c:delete val="0"/>
        <c:axPos val="b"/>
        <c:numFmt formatCode="General" sourceLinked="0"/>
        <c:majorTickMark val="out"/>
        <c:minorTickMark val="none"/>
        <c:tickLblPos val="nextTo"/>
        <c:crossAx val="327596224"/>
        <c:crosses val="autoZero"/>
        <c:auto val="1"/>
        <c:lblAlgn val="ctr"/>
        <c:lblOffset val="100"/>
        <c:noMultiLvlLbl val="0"/>
      </c:catAx>
      <c:valAx>
        <c:axId val="327596224"/>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759583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5"/>
              <c:pt idx="0">
                <c:v>Palmerston (C)</c:v>
              </c:pt>
              <c:pt idx="1">
                <c:v>Darwin (C)</c:v>
              </c:pt>
              <c:pt idx="2">
                <c:v>Litchfield (M)</c:v>
              </c:pt>
              <c:pt idx="3">
                <c:v>Alice Springs (T)</c:v>
              </c:pt>
              <c:pt idx="4">
                <c:v>Katherine (T)</c:v>
              </c:pt>
            </c:strLit>
          </c:cat>
          <c:val>
            <c:numLit>
              <c:formatCode>General</c:formatCode>
              <c:ptCount val="5"/>
              <c:pt idx="0">
                <c:v>55.582922799999999</c:v>
              </c:pt>
              <c:pt idx="1">
                <c:v>25.205254499999999</c:v>
              </c:pt>
              <c:pt idx="2">
                <c:v>7.3891625999999997</c:v>
              </c:pt>
              <c:pt idx="3">
                <c:v>3.6124795000000001</c:v>
              </c:pt>
              <c:pt idx="4">
                <c:v>3.0377668</c:v>
              </c:pt>
            </c:numLit>
          </c:val>
          <c:extLst xmlns:c16r2="http://schemas.microsoft.com/office/drawing/2015/06/chart">
            <c:ext xmlns:c16="http://schemas.microsoft.com/office/drawing/2014/chart" uri="{C3380CC4-5D6E-409C-BE32-E72D297353CC}">
              <c16:uniqueId val="{00000000-F69C-D84C-A639-8C07E2CE0DAF}"/>
            </c:ext>
          </c:extLst>
        </c:ser>
        <c:dLbls>
          <c:showLegendKey val="0"/>
          <c:showVal val="0"/>
          <c:showCatName val="0"/>
          <c:showSerName val="0"/>
          <c:showPercent val="0"/>
          <c:showBubbleSize val="0"/>
        </c:dLbls>
        <c:gapWidth val="150"/>
        <c:axId val="327597008"/>
        <c:axId val="327597400"/>
      </c:barChart>
      <c:catAx>
        <c:axId val="327597008"/>
        <c:scaling>
          <c:orientation val="minMax"/>
        </c:scaling>
        <c:delete val="0"/>
        <c:axPos val="b"/>
        <c:numFmt formatCode="General" sourceLinked="0"/>
        <c:majorTickMark val="out"/>
        <c:minorTickMark val="none"/>
        <c:tickLblPos val="nextTo"/>
        <c:crossAx val="327597400"/>
        <c:crosses val="autoZero"/>
        <c:auto val="1"/>
        <c:lblAlgn val="ctr"/>
        <c:lblOffset val="100"/>
        <c:noMultiLvlLbl val="0"/>
      </c:catAx>
      <c:valAx>
        <c:axId val="327597400"/>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759700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35479154491164"/>
          <c:y val="4.359538405813352E-2"/>
          <c:w val="0.84538210656628821"/>
          <c:h val="0.79131558148811865"/>
        </c:manualLayout>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5"/>
              <c:pt idx="0">
                <c:v>Darwin (C)</c:v>
              </c:pt>
              <c:pt idx="1">
                <c:v>Palmerston (C)</c:v>
              </c:pt>
              <c:pt idx="2">
                <c:v>Litchfield (M)</c:v>
              </c:pt>
              <c:pt idx="3">
                <c:v>Alice Springs (T)</c:v>
              </c:pt>
              <c:pt idx="4">
                <c:v>Katherine (T)</c:v>
              </c:pt>
            </c:strLit>
          </c:cat>
          <c:val>
            <c:numLit>
              <c:formatCode>General</c:formatCode>
              <c:ptCount val="5"/>
              <c:pt idx="0">
                <c:v>34.828101599999997</c:v>
              </c:pt>
              <c:pt idx="1">
                <c:v>27.6532138</c:v>
              </c:pt>
              <c:pt idx="2">
                <c:v>20.029895400000001</c:v>
              </c:pt>
              <c:pt idx="3">
                <c:v>8.0717488999999993</c:v>
              </c:pt>
              <c:pt idx="4">
                <c:v>3.7369208</c:v>
              </c:pt>
            </c:numLit>
          </c:val>
          <c:extLst xmlns:c16r2="http://schemas.microsoft.com/office/drawing/2015/06/chart">
            <c:ext xmlns:c16="http://schemas.microsoft.com/office/drawing/2014/chart" uri="{C3380CC4-5D6E-409C-BE32-E72D297353CC}">
              <c16:uniqueId val="{00000000-FE03-CE4E-923A-415A77D8A359}"/>
            </c:ext>
          </c:extLst>
        </c:ser>
        <c:dLbls>
          <c:showLegendKey val="0"/>
          <c:showVal val="0"/>
          <c:showCatName val="0"/>
          <c:showSerName val="0"/>
          <c:showPercent val="0"/>
          <c:showBubbleSize val="0"/>
        </c:dLbls>
        <c:gapWidth val="150"/>
        <c:axId val="327598184"/>
        <c:axId val="327598576"/>
      </c:barChart>
      <c:catAx>
        <c:axId val="327598184"/>
        <c:scaling>
          <c:orientation val="minMax"/>
        </c:scaling>
        <c:delete val="0"/>
        <c:axPos val="b"/>
        <c:numFmt formatCode="General" sourceLinked="0"/>
        <c:majorTickMark val="out"/>
        <c:minorTickMark val="none"/>
        <c:tickLblPos val="nextTo"/>
        <c:crossAx val="327598576"/>
        <c:crosses val="autoZero"/>
        <c:auto val="1"/>
        <c:lblAlgn val="ctr"/>
        <c:lblOffset val="100"/>
        <c:noMultiLvlLbl val="0"/>
      </c:catAx>
      <c:valAx>
        <c:axId val="327598576"/>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759818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4"/>
              <c:pt idx="0">
                <c:v>Darwin (C)</c:v>
              </c:pt>
              <c:pt idx="1">
                <c:v>Palmerston (C)</c:v>
              </c:pt>
              <c:pt idx="2">
                <c:v>Alice Springs (T)</c:v>
              </c:pt>
              <c:pt idx="3">
                <c:v>Litchfield (M)</c:v>
              </c:pt>
            </c:strLit>
          </c:cat>
          <c:val>
            <c:numLit>
              <c:formatCode>General</c:formatCode>
              <c:ptCount val="4"/>
              <c:pt idx="0">
                <c:v>67.2131148</c:v>
              </c:pt>
              <c:pt idx="1">
                <c:v>22.9508197</c:v>
              </c:pt>
              <c:pt idx="2">
                <c:v>9.8360655999999995</c:v>
              </c:pt>
              <c:pt idx="3">
                <c:v>8.1967213000000001</c:v>
              </c:pt>
            </c:numLit>
          </c:val>
          <c:extLst xmlns:c16r2="http://schemas.microsoft.com/office/drawing/2015/06/chart">
            <c:ext xmlns:c16="http://schemas.microsoft.com/office/drawing/2014/chart" uri="{C3380CC4-5D6E-409C-BE32-E72D297353CC}">
              <c16:uniqueId val="{00000000-0D2D-E14C-A576-038A7B5B4139}"/>
            </c:ext>
          </c:extLst>
        </c:ser>
        <c:dLbls>
          <c:showLegendKey val="0"/>
          <c:showVal val="0"/>
          <c:showCatName val="0"/>
          <c:showSerName val="0"/>
          <c:showPercent val="0"/>
          <c:showBubbleSize val="0"/>
        </c:dLbls>
        <c:gapWidth val="150"/>
        <c:axId val="328204120"/>
        <c:axId val="328204512"/>
      </c:barChart>
      <c:catAx>
        <c:axId val="328204120"/>
        <c:scaling>
          <c:orientation val="minMax"/>
        </c:scaling>
        <c:delete val="0"/>
        <c:axPos val="b"/>
        <c:numFmt formatCode="General" sourceLinked="0"/>
        <c:majorTickMark val="out"/>
        <c:minorTickMark val="none"/>
        <c:tickLblPos val="nextTo"/>
        <c:crossAx val="328204512"/>
        <c:crosses val="autoZero"/>
        <c:auto val="1"/>
        <c:lblAlgn val="ctr"/>
        <c:lblOffset val="100"/>
        <c:noMultiLvlLbl val="0"/>
      </c:catAx>
      <c:valAx>
        <c:axId val="328204512"/>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820412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4"/>
              <c:pt idx="0">
                <c:v>Darwin (C)</c:v>
              </c:pt>
              <c:pt idx="1">
                <c:v>Palmerston (C)</c:v>
              </c:pt>
              <c:pt idx="2">
                <c:v>Alice Springs (T)</c:v>
              </c:pt>
              <c:pt idx="3">
                <c:v>Litchfield (M)</c:v>
              </c:pt>
            </c:strLit>
          </c:cat>
          <c:val>
            <c:numLit>
              <c:formatCode>General</c:formatCode>
              <c:ptCount val="4"/>
              <c:pt idx="0">
                <c:v>50.420168099999998</c:v>
              </c:pt>
              <c:pt idx="1">
                <c:v>15.406162500000001</c:v>
              </c:pt>
              <c:pt idx="2">
                <c:v>11.484593800000001</c:v>
              </c:pt>
              <c:pt idx="3">
                <c:v>7.0028011000000001</c:v>
              </c:pt>
            </c:numLit>
          </c:val>
          <c:extLst xmlns:c16r2="http://schemas.microsoft.com/office/drawing/2015/06/chart">
            <c:ext xmlns:c16="http://schemas.microsoft.com/office/drawing/2014/chart" uri="{C3380CC4-5D6E-409C-BE32-E72D297353CC}">
              <c16:uniqueId val="{00000000-91B3-D44F-A57E-680F8B99F291}"/>
            </c:ext>
          </c:extLst>
        </c:ser>
        <c:dLbls>
          <c:showLegendKey val="0"/>
          <c:showVal val="0"/>
          <c:showCatName val="0"/>
          <c:showSerName val="0"/>
          <c:showPercent val="0"/>
          <c:showBubbleSize val="0"/>
        </c:dLbls>
        <c:gapWidth val="150"/>
        <c:axId val="328205296"/>
        <c:axId val="328205688"/>
      </c:barChart>
      <c:catAx>
        <c:axId val="328205296"/>
        <c:scaling>
          <c:orientation val="minMax"/>
        </c:scaling>
        <c:delete val="0"/>
        <c:axPos val="b"/>
        <c:numFmt formatCode="General" sourceLinked="0"/>
        <c:majorTickMark val="out"/>
        <c:minorTickMark val="none"/>
        <c:tickLblPos val="nextTo"/>
        <c:crossAx val="328205688"/>
        <c:crosses val="autoZero"/>
        <c:auto val="1"/>
        <c:lblAlgn val="ctr"/>
        <c:lblOffset val="100"/>
        <c:noMultiLvlLbl val="0"/>
      </c:catAx>
      <c:valAx>
        <c:axId val="328205688"/>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820529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3"/>
              <c:pt idx="0">
                <c:v>Darwin (C)</c:v>
              </c:pt>
              <c:pt idx="1">
                <c:v>Palmerston (C)</c:v>
              </c:pt>
              <c:pt idx="2">
                <c:v>Alice Springs (T)</c:v>
              </c:pt>
            </c:strLit>
          </c:cat>
          <c:val>
            <c:numLit>
              <c:formatCode>General</c:formatCode>
              <c:ptCount val="3"/>
              <c:pt idx="0">
                <c:v>79.849498299999993</c:v>
              </c:pt>
              <c:pt idx="1">
                <c:v>5.6020066999999996</c:v>
              </c:pt>
              <c:pt idx="2">
                <c:v>5.3511705999999997</c:v>
              </c:pt>
            </c:numLit>
          </c:val>
          <c:extLst xmlns:c16r2="http://schemas.microsoft.com/office/drawing/2015/06/chart">
            <c:ext xmlns:c16="http://schemas.microsoft.com/office/drawing/2014/chart" uri="{C3380CC4-5D6E-409C-BE32-E72D297353CC}">
              <c16:uniqueId val="{00000000-8B2C-ED4E-90CE-02A368D123E9}"/>
            </c:ext>
          </c:extLst>
        </c:ser>
        <c:dLbls>
          <c:showLegendKey val="0"/>
          <c:showVal val="0"/>
          <c:showCatName val="0"/>
          <c:showSerName val="0"/>
          <c:showPercent val="0"/>
          <c:showBubbleSize val="0"/>
        </c:dLbls>
        <c:gapWidth val="150"/>
        <c:axId val="328206472"/>
        <c:axId val="328206864"/>
      </c:barChart>
      <c:catAx>
        <c:axId val="328206472"/>
        <c:scaling>
          <c:orientation val="minMax"/>
        </c:scaling>
        <c:delete val="0"/>
        <c:axPos val="b"/>
        <c:numFmt formatCode="General" sourceLinked="0"/>
        <c:majorTickMark val="out"/>
        <c:minorTickMark val="none"/>
        <c:tickLblPos val="nextTo"/>
        <c:crossAx val="328206864"/>
        <c:crosses val="autoZero"/>
        <c:auto val="1"/>
        <c:lblAlgn val="ctr"/>
        <c:lblOffset val="100"/>
        <c:noMultiLvlLbl val="0"/>
      </c:catAx>
      <c:valAx>
        <c:axId val="328206864"/>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820647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 change 2011-2016</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222009167693379E-2"/>
          <c:y val="0.17706477518080996"/>
          <c:w val="0.8731842314498961"/>
          <c:h val="0.45987756111637879"/>
        </c:manualLayout>
      </c:layout>
      <c:barChart>
        <c:barDir val="bar"/>
        <c:grouping val="clustered"/>
        <c:varyColors val="0"/>
        <c:ser>
          <c:idx val="0"/>
          <c:order val="0"/>
          <c:tx>
            <c:strRef>
              <c:f>'3.4 Belyuen'!$B$15</c:f>
              <c:strCache>
                <c:ptCount val="1"/>
                <c:pt idx="0">
                  <c:v>Population</c:v>
                </c:pt>
              </c:strCache>
            </c:strRef>
          </c:tx>
          <c:spPr>
            <a:solidFill>
              <a:schemeClr val="dk1">
                <a:tint val="88500"/>
              </a:schemeClr>
            </a:solidFill>
            <a:ln>
              <a:noFill/>
            </a:ln>
            <a:effectLst/>
          </c:spPr>
          <c:invertIfNegative val="0"/>
          <c:val>
            <c:numRef>
              <c:f>'3.4 Belyuen'!$G$15</c:f>
              <c:numCache>
                <c:formatCode>0%</c:formatCode>
                <c:ptCount val="1"/>
                <c:pt idx="0">
                  <c:v>-7.7777777777777779E-2</c:v>
                </c:pt>
              </c:numCache>
            </c:numRef>
          </c:val>
          <c:extLst xmlns:c16r2="http://schemas.microsoft.com/office/drawing/2015/06/chart">
            <c:ext xmlns:c16="http://schemas.microsoft.com/office/drawing/2014/chart" uri="{C3380CC4-5D6E-409C-BE32-E72D297353CC}">
              <c16:uniqueId val="{00000000-D7BA-4146-8553-B114E9E776EC}"/>
            </c:ext>
          </c:extLst>
        </c:ser>
        <c:ser>
          <c:idx val="1"/>
          <c:order val="1"/>
          <c:tx>
            <c:strRef>
              <c:f>'3.4 Belyuen'!$B$17</c:f>
              <c:strCache>
                <c:ptCount val="1"/>
                <c:pt idx="0">
                  <c:v>Overseas born (a)</c:v>
                </c:pt>
              </c:strCache>
            </c:strRef>
          </c:tx>
          <c:spPr>
            <a:solidFill>
              <a:schemeClr val="dk1">
                <a:tint val="55000"/>
              </a:schemeClr>
            </a:solidFill>
            <a:ln>
              <a:noFill/>
            </a:ln>
            <a:effectLst/>
          </c:spPr>
          <c:invertIfNegative val="0"/>
          <c:val>
            <c:numRef>
              <c:f>'3.4 Belyuen'!$G$17</c:f>
              <c:numCache>
                <c:formatCode>0%</c:formatCode>
                <c:ptCount val="1"/>
                <c:pt idx="0">
                  <c:v>0</c:v>
                </c:pt>
              </c:numCache>
            </c:numRef>
          </c:val>
          <c:extLst xmlns:c16r2="http://schemas.microsoft.com/office/drawing/2015/06/chart">
            <c:ext xmlns:c16="http://schemas.microsoft.com/office/drawing/2014/chart" uri="{C3380CC4-5D6E-409C-BE32-E72D297353CC}">
              <c16:uniqueId val="{00000001-D7BA-4146-8553-B114E9E776EC}"/>
            </c:ext>
          </c:extLst>
        </c:ser>
        <c:ser>
          <c:idx val="2"/>
          <c:order val="2"/>
          <c:tx>
            <c:strRef>
              <c:f>'3.4 Belyuen'!$B$16</c:f>
              <c:strCache>
                <c:ptCount val="1"/>
                <c:pt idx="0">
                  <c:v>Australian born</c:v>
                </c:pt>
              </c:strCache>
            </c:strRef>
          </c:tx>
          <c:spPr>
            <a:solidFill>
              <a:schemeClr val="dk1">
                <a:tint val="75000"/>
              </a:schemeClr>
            </a:solidFill>
            <a:ln>
              <a:noFill/>
            </a:ln>
            <a:effectLst/>
          </c:spPr>
          <c:invertIfNegative val="0"/>
          <c:dPt>
            <c:idx val="0"/>
            <c:invertIfNegative val="0"/>
            <c:bubble3D val="0"/>
            <c:spPr>
              <a:solidFill>
                <a:schemeClr val="bg1">
                  <a:lumMod val="85000"/>
                </a:schemeClr>
              </a:solidFill>
              <a:ln>
                <a:noFill/>
              </a:ln>
              <a:effectLst/>
            </c:spPr>
            <c:extLst xmlns:c16r2="http://schemas.microsoft.com/office/drawing/2015/06/chart">
              <c:ext xmlns:c16="http://schemas.microsoft.com/office/drawing/2014/chart" uri="{C3380CC4-5D6E-409C-BE32-E72D297353CC}">
                <c16:uniqueId val="{00000003-D7BA-4146-8553-B114E9E776EC}"/>
              </c:ext>
            </c:extLst>
          </c:dPt>
          <c:val>
            <c:numRef>
              <c:f>'3.4 Belyuen'!$G$16</c:f>
              <c:numCache>
                <c:formatCode>0%</c:formatCode>
                <c:ptCount val="1"/>
                <c:pt idx="0">
                  <c:v>-7.7777777777777779E-2</c:v>
                </c:pt>
              </c:numCache>
            </c:numRef>
          </c:val>
          <c:extLst xmlns:c16r2="http://schemas.microsoft.com/office/drawing/2015/06/chart">
            <c:ext xmlns:c16="http://schemas.microsoft.com/office/drawing/2014/chart" uri="{C3380CC4-5D6E-409C-BE32-E72D297353CC}">
              <c16:uniqueId val="{00000004-D7BA-4146-8553-B114E9E776EC}"/>
            </c:ext>
          </c:extLst>
        </c:ser>
        <c:ser>
          <c:idx val="3"/>
          <c:order val="3"/>
          <c:tx>
            <c:strRef>
              <c:f>'3.4 Belyuen'!$B$20</c:f>
              <c:strCache>
                <c:ptCount val="1"/>
                <c:pt idx="0">
                  <c:v>Overseas born - NMESC</c:v>
                </c:pt>
              </c:strCache>
            </c:strRef>
          </c:tx>
          <c:spPr>
            <a:solidFill>
              <a:schemeClr val="dk1">
                <a:tint val="98500"/>
              </a:schemeClr>
            </a:solidFill>
            <a:ln>
              <a:noFill/>
            </a:ln>
            <a:effectLst/>
          </c:spPr>
          <c:invertIfNegative val="0"/>
          <c:val>
            <c:numRef>
              <c:f>'3.4 Belyuen'!$G$20</c:f>
              <c:numCache>
                <c:formatCode>0%</c:formatCode>
                <c:ptCount val="1"/>
                <c:pt idx="0">
                  <c:v>0</c:v>
                </c:pt>
              </c:numCache>
            </c:numRef>
          </c:val>
          <c:extLst xmlns:c16r2="http://schemas.microsoft.com/office/drawing/2015/06/chart">
            <c:ext xmlns:c16="http://schemas.microsoft.com/office/drawing/2014/chart" uri="{C3380CC4-5D6E-409C-BE32-E72D297353CC}">
              <c16:uniqueId val="{00000005-D7BA-4146-8553-B114E9E776EC}"/>
            </c:ext>
          </c:extLst>
        </c:ser>
        <c:dLbls>
          <c:showLegendKey val="0"/>
          <c:showVal val="0"/>
          <c:showCatName val="0"/>
          <c:showSerName val="0"/>
          <c:showPercent val="0"/>
          <c:showBubbleSize val="0"/>
        </c:dLbls>
        <c:gapWidth val="182"/>
        <c:axId val="318715664"/>
        <c:axId val="319675216"/>
      </c:barChart>
      <c:catAx>
        <c:axId val="318715664"/>
        <c:scaling>
          <c:orientation val="minMax"/>
        </c:scaling>
        <c:delete val="1"/>
        <c:axPos val="l"/>
        <c:majorTickMark val="none"/>
        <c:minorTickMark val="none"/>
        <c:tickLblPos val="nextTo"/>
        <c:crossAx val="319675216"/>
        <c:crosses val="autoZero"/>
        <c:auto val="1"/>
        <c:lblAlgn val="ctr"/>
        <c:lblOffset val="100"/>
        <c:noMultiLvlLbl val="0"/>
      </c:catAx>
      <c:valAx>
        <c:axId val="31967521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18715664"/>
        <c:crosses val="autoZero"/>
        <c:crossBetween val="between"/>
      </c:valAx>
      <c:spPr>
        <a:noFill/>
        <a:ln>
          <a:noFill/>
        </a:ln>
        <a:effectLst/>
      </c:spPr>
    </c:plotArea>
    <c:legend>
      <c:legendPos val="b"/>
      <c:layout>
        <c:manualLayout>
          <c:xMode val="edge"/>
          <c:yMode val="edge"/>
          <c:x val="2.2460806900058351E-2"/>
          <c:y val="0.76186185587561039"/>
          <c:w val="0.97519465587619847"/>
          <c:h val="0.200163460580085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5"/>
              <c:pt idx="0">
                <c:v>Darwin (C)</c:v>
              </c:pt>
              <c:pt idx="1">
                <c:v>Litchfield (M)</c:v>
              </c:pt>
              <c:pt idx="2">
                <c:v>Alice Springs (T)</c:v>
              </c:pt>
              <c:pt idx="3">
                <c:v>Palmerston (C)</c:v>
              </c:pt>
              <c:pt idx="4">
                <c:v>Katherine (T)</c:v>
              </c:pt>
            </c:strLit>
          </c:cat>
          <c:val>
            <c:numLit>
              <c:formatCode>General</c:formatCode>
              <c:ptCount val="5"/>
              <c:pt idx="0">
                <c:v>46.8481375</c:v>
              </c:pt>
              <c:pt idx="1">
                <c:v>15.1504298</c:v>
              </c:pt>
              <c:pt idx="2">
                <c:v>12.7148997</c:v>
              </c:pt>
              <c:pt idx="3">
                <c:v>11.9269341</c:v>
              </c:pt>
              <c:pt idx="4">
                <c:v>2.9011461000000001</c:v>
              </c:pt>
            </c:numLit>
          </c:val>
          <c:extLst xmlns:c16r2="http://schemas.microsoft.com/office/drawing/2015/06/chart">
            <c:ext xmlns:c16="http://schemas.microsoft.com/office/drawing/2014/chart" uri="{C3380CC4-5D6E-409C-BE32-E72D297353CC}">
              <c16:uniqueId val="{00000000-8CB5-034C-B0D3-AB853A5427B6}"/>
            </c:ext>
          </c:extLst>
        </c:ser>
        <c:dLbls>
          <c:showLegendKey val="0"/>
          <c:showVal val="0"/>
          <c:showCatName val="0"/>
          <c:showSerName val="0"/>
          <c:showPercent val="0"/>
          <c:showBubbleSize val="0"/>
        </c:dLbls>
        <c:gapWidth val="150"/>
        <c:axId val="328207648"/>
        <c:axId val="328302432"/>
      </c:barChart>
      <c:catAx>
        <c:axId val="328207648"/>
        <c:scaling>
          <c:orientation val="minMax"/>
        </c:scaling>
        <c:delete val="0"/>
        <c:axPos val="b"/>
        <c:numFmt formatCode="General" sourceLinked="0"/>
        <c:majorTickMark val="out"/>
        <c:minorTickMark val="none"/>
        <c:tickLblPos val="nextTo"/>
        <c:crossAx val="328302432"/>
        <c:crosses val="autoZero"/>
        <c:auto val="1"/>
        <c:lblAlgn val="ctr"/>
        <c:lblOffset val="100"/>
        <c:noMultiLvlLbl val="0"/>
      </c:catAx>
      <c:valAx>
        <c:axId val="328302432"/>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82076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7"/>
              <c:pt idx="0">
                <c:v>Darwin (C)</c:v>
              </c:pt>
              <c:pt idx="1">
                <c:v>Palmerston (C)</c:v>
              </c:pt>
              <c:pt idx="2">
                <c:v>Litchfield (M)</c:v>
              </c:pt>
              <c:pt idx="3">
                <c:v>Barkly (R)</c:v>
              </c:pt>
              <c:pt idx="4">
                <c:v>Katherine (T)</c:v>
              </c:pt>
              <c:pt idx="5">
                <c:v>Roper Gulf (R)</c:v>
              </c:pt>
              <c:pt idx="6">
                <c:v>Tiwi Islands (R)</c:v>
              </c:pt>
            </c:strLit>
          </c:cat>
          <c:val>
            <c:numLit>
              <c:formatCode>General</c:formatCode>
              <c:ptCount val="7"/>
              <c:pt idx="0">
                <c:v>37.850467299999998</c:v>
              </c:pt>
              <c:pt idx="1">
                <c:v>23.5981308</c:v>
              </c:pt>
              <c:pt idx="2">
                <c:v>13.317757</c:v>
              </c:pt>
              <c:pt idx="3">
                <c:v>5.3738317999999996</c:v>
              </c:pt>
              <c:pt idx="4">
                <c:v>4.2056075000000002</c:v>
              </c:pt>
              <c:pt idx="5">
                <c:v>3.5046729000000001</c:v>
              </c:pt>
              <c:pt idx="6">
                <c:v>3.0373831999999998</c:v>
              </c:pt>
            </c:numLit>
          </c:val>
          <c:extLst xmlns:c16r2="http://schemas.microsoft.com/office/drawing/2015/06/chart">
            <c:ext xmlns:c16="http://schemas.microsoft.com/office/drawing/2014/chart" uri="{C3380CC4-5D6E-409C-BE32-E72D297353CC}">
              <c16:uniqueId val="{00000000-DAFC-E743-8B6C-893237D4E0F9}"/>
            </c:ext>
          </c:extLst>
        </c:ser>
        <c:dLbls>
          <c:showLegendKey val="0"/>
          <c:showVal val="0"/>
          <c:showCatName val="0"/>
          <c:showSerName val="0"/>
          <c:showPercent val="0"/>
          <c:showBubbleSize val="0"/>
        </c:dLbls>
        <c:gapWidth val="150"/>
        <c:axId val="328303216"/>
        <c:axId val="328303608"/>
      </c:barChart>
      <c:catAx>
        <c:axId val="328303216"/>
        <c:scaling>
          <c:orientation val="minMax"/>
        </c:scaling>
        <c:delete val="0"/>
        <c:axPos val="b"/>
        <c:numFmt formatCode="General" sourceLinked="0"/>
        <c:majorTickMark val="out"/>
        <c:minorTickMark val="none"/>
        <c:tickLblPos val="nextTo"/>
        <c:crossAx val="328303608"/>
        <c:crosses val="autoZero"/>
        <c:auto val="1"/>
        <c:lblAlgn val="ctr"/>
        <c:lblOffset val="100"/>
        <c:noMultiLvlLbl val="0"/>
      </c:catAx>
      <c:valAx>
        <c:axId val="328303608"/>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830321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7"/>
              <c:pt idx="0">
                <c:v>Darwin (C)</c:v>
              </c:pt>
              <c:pt idx="1">
                <c:v>Palmerston (C)</c:v>
              </c:pt>
              <c:pt idx="2">
                <c:v>Litchfield (M)</c:v>
              </c:pt>
              <c:pt idx="3">
                <c:v>Alice Springs (T)</c:v>
              </c:pt>
              <c:pt idx="4">
                <c:v>No usual address (NT)</c:v>
              </c:pt>
              <c:pt idx="5">
                <c:v>Barkly (R)</c:v>
              </c:pt>
              <c:pt idx="6">
                <c:v>Katherine (T)</c:v>
              </c:pt>
            </c:strLit>
          </c:cat>
          <c:val>
            <c:numLit>
              <c:formatCode>General</c:formatCode>
              <c:ptCount val="7"/>
              <c:pt idx="0">
                <c:v>55.670103099999999</c:v>
              </c:pt>
              <c:pt idx="1">
                <c:v>10.8247423</c:v>
              </c:pt>
              <c:pt idx="2">
                <c:v>6.7010309000000001</c:v>
              </c:pt>
              <c:pt idx="3">
                <c:v>5.6701031000000004</c:v>
              </c:pt>
              <c:pt idx="4">
                <c:v>3.8659794000000001</c:v>
              </c:pt>
              <c:pt idx="5">
                <c:v>3.3505155000000002</c:v>
              </c:pt>
              <c:pt idx="6">
                <c:v>3.0927834999999999</c:v>
              </c:pt>
            </c:numLit>
          </c:val>
          <c:extLst xmlns:c16r2="http://schemas.microsoft.com/office/drawing/2015/06/chart">
            <c:ext xmlns:c16="http://schemas.microsoft.com/office/drawing/2014/chart" uri="{C3380CC4-5D6E-409C-BE32-E72D297353CC}">
              <c16:uniqueId val="{00000000-C492-4544-97C7-F8F20A183A76}"/>
            </c:ext>
          </c:extLst>
        </c:ser>
        <c:dLbls>
          <c:showLegendKey val="0"/>
          <c:showVal val="0"/>
          <c:showCatName val="0"/>
          <c:showSerName val="0"/>
          <c:showPercent val="0"/>
          <c:showBubbleSize val="0"/>
        </c:dLbls>
        <c:gapWidth val="150"/>
        <c:axId val="328304392"/>
        <c:axId val="328304784"/>
      </c:barChart>
      <c:catAx>
        <c:axId val="328304392"/>
        <c:scaling>
          <c:orientation val="minMax"/>
        </c:scaling>
        <c:delete val="0"/>
        <c:axPos val="b"/>
        <c:numFmt formatCode="General" sourceLinked="0"/>
        <c:majorTickMark val="out"/>
        <c:minorTickMark val="none"/>
        <c:tickLblPos val="nextTo"/>
        <c:crossAx val="328304784"/>
        <c:crosses val="autoZero"/>
        <c:auto val="1"/>
        <c:lblAlgn val="ctr"/>
        <c:lblOffset val="100"/>
        <c:noMultiLvlLbl val="0"/>
      </c:catAx>
      <c:valAx>
        <c:axId val="328304784"/>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830439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5"/>
              <c:pt idx="0">
                <c:v>Darwin (C)</c:v>
              </c:pt>
              <c:pt idx="1">
                <c:v>Palmerston (C)</c:v>
              </c:pt>
              <c:pt idx="2">
                <c:v>Litchfield (M)</c:v>
              </c:pt>
              <c:pt idx="3">
                <c:v>Alice Springs (T)</c:v>
              </c:pt>
              <c:pt idx="4">
                <c:v>Katherine (T)</c:v>
              </c:pt>
            </c:strLit>
          </c:cat>
          <c:val>
            <c:numLit>
              <c:formatCode>General</c:formatCode>
              <c:ptCount val="5"/>
              <c:pt idx="0">
                <c:v>47.690655200000002</c:v>
              </c:pt>
              <c:pt idx="1">
                <c:v>12.781954900000001</c:v>
              </c:pt>
              <c:pt idx="2">
                <c:v>12.6745435</c:v>
              </c:pt>
              <c:pt idx="3">
                <c:v>9.1299677999999993</c:v>
              </c:pt>
              <c:pt idx="4">
                <c:v>3.2223416</c:v>
              </c:pt>
            </c:numLit>
          </c:val>
          <c:extLst xmlns:c16r2="http://schemas.microsoft.com/office/drawing/2015/06/chart">
            <c:ext xmlns:c16="http://schemas.microsoft.com/office/drawing/2014/chart" uri="{C3380CC4-5D6E-409C-BE32-E72D297353CC}">
              <c16:uniqueId val="{00000000-23FF-6A41-87AC-9422E25E1E9B}"/>
            </c:ext>
          </c:extLst>
        </c:ser>
        <c:dLbls>
          <c:showLegendKey val="0"/>
          <c:showVal val="0"/>
          <c:showCatName val="0"/>
          <c:showSerName val="0"/>
          <c:showPercent val="0"/>
          <c:showBubbleSize val="0"/>
        </c:dLbls>
        <c:gapWidth val="150"/>
        <c:axId val="328305568"/>
        <c:axId val="328305960"/>
      </c:barChart>
      <c:catAx>
        <c:axId val="328305568"/>
        <c:scaling>
          <c:orientation val="minMax"/>
        </c:scaling>
        <c:delete val="0"/>
        <c:axPos val="b"/>
        <c:numFmt formatCode="General" sourceLinked="0"/>
        <c:majorTickMark val="out"/>
        <c:minorTickMark val="none"/>
        <c:tickLblPos val="nextTo"/>
        <c:crossAx val="328305960"/>
        <c:crosses val="autoZero"/>
        <c:auto val="1"/>
        <c:lblAlgn val="ctr"/>
        <c:lblOffset val="100"/>
        <c:noMultiLvlLbl val="0"/>
      </c:catAx>
      <c:valAx>
        <c:axId val="328305960"/>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830556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35479154491164"/>
          <c:y val="4.359538405813352E-2"/>
          <c:w val="0.84538210656628821"/>
          <c:h val="0.79131558148811865"/>
        </c:manualLayout>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2"/>
              <c:pt idx="0">
                <c:v>Darwin (C)</c:v>
              </c:pt>
              <c:pt idx="1">
                <c:v>Litchfield (M)</c:v>
              </c:pt>
            </c:strLit>
          </c:cat>
          <c:val>
            <c:numLit>
              <c:formatCode>General</c:formatCode>
              <c:ptCount val="2"/>
              <c:pt idx="0">
                <c:v>88.564668800000007</c:v>
              </c:pt>
              <c:pt idx="1">
                <c:v>6.3880125999999997</c:v>
              </c:pt>
            </c:numLit>
          </c:val>
          <c:extLst xmlns:c16r2="http://schemas.microsoft.com/office/drawing/2015/06/chart">
            <c:ext xmlns:c16="http://schemas.microsoft.com/office/drawing/2014/chart" uri="{C3380CC4-5D6E-409C-BE32-E72D297353CC}">
              <c16:uniqueId val="{00000000-CC1C-8E4C-A25E-AC47786AEC56}"/>
            </c:ext>
          </c:extLst>
        </c:ser>
        <c:dLbls>
          <c:showLegendKey val="0"/>
          <c:showVal val="0"/>
          <c:showCatName val="0"/>
          <c:showSerName val="0"/>
          <c:showPercent val="0"/>
          <c:showBubbleSize val="0"/>
        </c:dLbls>
        <c:gapWidth val="150"/>
        <c:axId val="328650992"/>
        <c:axId val="328651384"/>
      </c:barChart>
      <c:catAx>
        <c:axId val="328650992"/>
        <c:scaling>
          <c:orientation val="minMax"/>
        </c:scaling>
        <c:delete val="0"/>
        <c:axPos val="b"/>
        <c:numFmt formatCode="General" sourceLinked="0"/>
        <c:majorTickMark val="out"/>
        <c:minorTickMark val="none"/>
        <c:tickLblPos val="nextTo"/>
        <c:crossAx val="328651384"/>
        <c:crosses val="autoZero"/>
        <c:auto val="1"/>
        <c:lblAlgn val="ctr"/>
        <c:lblOffset val="100"/>
        <c:noMultiLvlLbl val="0"/>
      </c:catAx>
      <c:valAx>
        <c:axId val="328651384"/>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865099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3"/>
              <c:pt idx="0">
                <c:v>Darwin (C)</c:v>
              </c:pt>
              <c:pt idx="1">
                <c:v>Palmerston (C)</c:v>
              </c:pt>
              <c:pt idx="2">
                <c:v>Litchfield (M)</c:v>
              </c:pt>
            </c:strLit>
          </c:cat>
          <c:val>
            <c:numLit>
              <c:formatCode>General</c:formatCode>
              <c:ptCount val="3"/>
              <c:pt idx="0">
                <c:v>68.771929799999995</c:v>
              </c:pt>
              <c:pt idx="1">
                <c:v>15.7894737</c:v>
              </c:pt>
              <c:pt idx="2">
                <c:v>6.3157895000000002</c:v>
              </c:pt>
            </c:numLit>
          </c:val>
          <c:extLst xmlns:c16r2="http://schemas.microsoft.com/office/drawing/2015/06/chart">
            <c:ext xmlns:c16="http://schemas.microsoft.com/office/drawing/2014/chart" uri="{C3380CC4-5D6E-409C-BE32-E72D297353CC}">
              <c16:uniqueId val="{00000000-853F-AA44-A305-B06B82A950AA}"/>
            </c:ext>
          </c:extLst>
        </c:ser>
        <c:dLbls>
          <c:showLegendKey val="0"/>
          <c:showVal val="0"/>
          <c:showCatName val="0"/>
          <c:showSerName val="0"/>
          <c:showPercent val="0"/>
          <c:showBubbleSize val="0"/>
        </c:dLbls>
        <c:gapWidth val="150"/>
        <c:axId val="328652168"/>
        <c:axId val="328652560"/>
      </c:barChart>
      <c:catAx>
        <c:axId val="328652168"/>
        <c:scaling>
          <c:orientation val="minMax"/>
        </c:scaling>
        <c:delete val="0"/>
        <c:axPos val="b"/>
        <c:numFmt formatCode="General" sourceLinked="0"/>
        <c:majorTickMark val="out"/>
        <c:minorTickMark val="none"/>
        <c:tickLblPos val="nextTo"/>
        <c:crossAx val="328652560"/>
        <c:crosses val="autoZero"/>
        <c:auto val="1"/>
        <c:lblAlgn val="ctr"/>
        <c:lblOffset val="100"/>
        <c:noMultiLvlLbl val="0"/>
      </c:catAx>
      <c:valAx>
        <c:axId val="328652560"/>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865216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3"/>
              <c:pt idx="0">
                <c:v>Darwin (C)</c:v>
              </c:pt>
              <c:pt idx="1">
                <c:v>Palmerston (C)</c:v>
              </c:pt>
              <c:pt idx="2">
                <c:v>Litchfield (M)</c:v>
              </c:pt>
            </c:strLit>
          </c:cat>
          <c:val>
            <c:numLit>
              <c:formatCode>General</c:formatCode>
              <c:ptCount val="3"/>
              <c:pt idx="0">
                <c:v>58.636995800000001</c:v>
              </c:pt>
              <c:pt idx="1">
                <c:v>18.331015300000001</c:v>
              </c:pt>
              <c:pt idx="2">
                <c:v>14.9652295</c:v>
              </c:pt>
            </c:numLit>
          </c:val>
          <c:extLst xmlns:c16r2="http://schemas.microsoft.com/office/drawing/2015/06/chart">
            <c:ext xmlns:c16="http://schemas.microsoft.com/office/drawing/2014/chart" uri="{C3380CC4-5D6E-409C-BE32-E72D297353CC}">
              <c16:uniqueId val="{00000000-DEE9-BF45-AECE-F3F91AD0ED3F}"/>
            </c:ext>
          </c:extLst>
        </c:ser>
        <c:dLbls>
          <c:showLegendKey val="0"/>
          <c:showVal val="0"/>
          <c:showCatName val="0"/>
          <c:showSerName val="0"/>
          <c:showPercent val="0"/>
          <c:showBubbleSize val="0"/>
        </c:dLbls>
        <c:gapWidth val="150"/>
        <c:axId val="328653344"/>
        <c:axId val="328653736"/>
      </c:barChart>
      <c:catAx>
        <c:axId val="328653344"/>
        <c:scaling>
          <c:orientation val="minMax"/>
        </c:scaling>
        <c:delete val="0"/>
        <c:axPos val="b"/>
        <c:numFmt formatCode="General" sourceLinked="0"/>
        <c:majorTickMark val="out"/>
        <c:minorTickMark val="none"/>
        <c:tickLblPos val="nextTo"/>
        <c:crossAx val="328653736"/>
        <c:crosses val="autoZero"/>
        <c:auto val="1"/>
        <c:lblAlgn val="ctr"/>
        <c:lblOffset val="100"/>
        <c:noMultiLvlLbl val="0"/>
      </c:catAx>
      <c:valAx>
        <c:axId val="328653736"/>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86533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3"/>
              <c:pt idx="0">
                <c:v>Darwin (C)</c:v>
              </c:pt>
              <c:pt idx="1">
                <c:v>Litchfield (M)</c:v>
              </c:pt>
              <c:pt idx="2">
                <c:v>Alice Springs (T)</c:v>
              </c:pt>
            </c:strLit>
          </c:cat>
          <c:val>
            <c:numLit>
              <c:formatCode>General</c:formatCode>
              <c:ptCount val="3"/>
              <c:pt idx="0">
                <c:v>66.398570199999995</c:v>
              </c:pt>
              <c:pt idx="1">
                <c:v>16.175156399999999</c:v>
              </c:pt>
              <c:pt idx="2">
                <c:v>7.1492404000000001</c:v>
              </c:pt>
            </c:numLit>
          </c:val>
          <c:extLst xmlns:c16r2="http://schemas.microsoft.com/office/drawing/2015/06/chart">
            <c:ext xmlns:c16="http://schemas.microsoft.com/office/drawing/2014/chart" uri="{C3380CC4-5D6E-409C-BE32-E72D297353CC}">
              <c16:uniqueId val="{00000000-511D-F44D-8529-61351EFC6EEF}"/>
            </c:ext>
          </c:extLst>
        </c:ser>
        <c:dLbls>
          <c:showLegendKey val="0"/>
          <c:showVal val="0"/>
          <c:showCatName val="0"/>
          <c:showSerName val="0"/>
          <c:showPercent val="0"/>
          <c:showBubbleSize val="0"/>
        </c:dLbls>
        <c:gapWidth val="150"/>
        <c:axId val="328081232"/>
        <c:axId val="328081624"/>
      </c:barChart>
      <c:catAx>
        <c:axId val="328081232"/>
        <c:scaling>
          <c:orientation val="minMax"/>
        </c:scaling>
        <c:delete val="0"/>
        <c:axPos val="b"/>
        <c:numFmt formatCode="General" sourceLinked="0"/>
        <c:majorTickMark val="out"/>
        <c:minorTickMark val="none"/>
        <c:tickLblPos val="nextTo"/>
        <c:crossAx val="328081624"/>
        <c:crosses val="autoZero"/>
        <c:auto val="1"/>
        <c:lblAlgn val="ctr"/>
        <c:lblOffset val="100"/>
        <c:noMultiLvlLbl val="0"/>
      </c:catAx>
      <c:valAx>
        <c:axId val="328081624"/>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808123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35479154491164"/>
          <c:y val="4.359538405813352E-2"/>
          <c:w val="0.84538210656628821"/>
          <c:h val="0.79131558148811865"/>
        </c:manualLayout>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4"/>
              <c:pt idx="0">
                <c:v>Darwin (C)</c:v>
              </c:pt>
              <c:pt idx="1">
                <c:v>Litchfield (M)</c:v>
              </c:pt>
              <c:pt idx="2">
                <c:v>Palmerston (C)</c:v>
              </c:pt>
              <c:pt idx="3">
                <c:v>Alice Springs (T)</c:v>
              </c:pt>
            </c:strLit>
          </c:cat>
          <c:val>
            <c:numLit>
              <c:formatCode>General</c:formatCode>
              <c:ptCount val="4"/>
              <c:pt idx="0">
                <c:v>68.387096799999995</c:v>
              </c:pt>
              <c:pt idx="1">
                <c:v>10.3225806</c:v>
              </c:pt>
              <c:pt idx="2">
                <c:v>9.0322581</c:v>
              </c:pt>
              <c:pt idx="3">
                <c:v>3.8709677</c:v>
              </c:pt>
            </c:numLit>
          </c:val>
          <c:extLst xmlns:c16r2="http://schemas.microsoft.com/office/drawing/2015/06/chart">
            <c:ext xmlns:c16="http://schemas.microsoft.com/office/drawing/2014/chart" uri="{C3380CC4-5D6E-409C-BE32-E72D297353CC}">
              <c16:uniqueId val="{00000000-6584-F34D-B941-DE8F8A44FC50}"/>
            </c:ext>
          </c:extLst>
        </c:ser>
        <c:dLbls>
          <c:showLegendKey val="0"/>
          <c:showVal val="0"/>
          <c:showCatName val="0"/>
          <c:showSerName val="0"/>
          <c:showPercent val="0"/>
          <c:showBubbleSize val="0"/>
        </c:dLbls>
        <c:gapWidth val="150"/>
        <c:axId val="328082408"/>
        <c:axId val="328082800"/>
      </c:barChart>
      <c:catAx>
        <c:axId val="328082408"/>
        <c:scaling>
          <c:orientation val="minMax"/>
        </c:scaling>
        <c:delete val="0"/>
        <c:axPos val="b"/>
        <c:numFmt formatCode="General" sourceLinked="0"/>
        <c:majorTickMark val="out"/>
        <c:minorTickMark val="none"/>
        <c:tickLblPos val="nextTo"/>
        <c:crossAx val="328082800"/>
        <c:crosses val="autoZero"/>
        <c:auto val="1"/>
        <c:lblAlgn val="ctr"/>
        <c:lblOffset val="100"/>
        <c:noMultiLvlLbl val="0"/>
      </c:catAx>
      <c:valAx>
        <c:axId val="328082800"/>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808240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4"/>
              <c:pt idx="0">
                <c:v>Darwin (C)</c:v>
              </c:pt>
              <c:pt idx="1">
                <c:v>Litchfield (M)</c:v>
              </c:pt>
              <c:pt idx="2">
                <c:v>Palmerston (C)</c:v>
              </c:pt>
              <c:pt idx="3">
                <c:v>Alice Springs (T)</c:v>
              </c:pt>
            </c:strLit>
          </c:cat>
          <c:val>
            <c:numLit>
              <c:formatCode>General</c:formatCode>
              <c:ptCount val="4"/>
              <c:pt idx="0">
                <c:v>68.884540099999995</c:v>
              </c:pt>
              <c:pt idx="1">
                <c:v>9.6868885000000002</c:v>
              </c:pt>
              <c:pt idx="2">
                <c:v>7.3385518999999997</c:v>
              </c:pt>
              <c:pt idx="3">
                <c:v>6.9471623999999998</c:v>
              </c:pt>
            </c:numLit>
          </c:val>
          <c:extLst xmlns:c16r2="http://schemas.microsoft.com/office/drawing/2015/06/chart">
            <c:ext xmlns:c16="http://schemas.microsoft.com/office/drawing/2014/chart" uri="{C3380CC4-5D6E-409C-BE32-E72D297353CC}">
              <c16:uniqueId val="{00000000-83E3-384C-8AD4-35F26F86005C}"/>
            </c:ext>
          </c:extLst>
        </c:ser>
        <c:dLbls>
          <c:showLegendKey val="0"/>
          <c:showVal val="0"/>
          <c:showCatName val="0"/>
          <c:showSerName val="0"/>
          <c:showPercent val="0"/>
          <c:showBubbleSize val="0"/>
        </c:dLbls>
        <c:gapWidth val="150"/>
        <c:axId val="328083584"/>
        <c:axId val="328083976"/>
      </c:barChart>
      <c:catAx>
        <c:axId val="328083584"/>
        <c:scaling>
          <c:orientation val="minMax"/>
        </c:scaling>
        <c:delete val="0"/>
        <c:axPos val="b"/>
        <c:numFmt formatCode="General" sourceLinked="0"/>
        <c:majorTickMark val="out"/>
        <c:minorTickMark val="none"/>
        <c:tickLblPos val="nextTo"/>
        <c:crossAx val="328083976"/>
        <c:crosses val="autoZero"/>
        <c:auto val="1"/>
        <c:lblAlgn val="ctr"/>
        <c:lblOffset val="100"/>
        <c:noMultiLvlLbl val="0"/>
      </c:catAx>
      <c:valAx>
        <c:axId val="328083976"/>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808358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5996890792586769"/>
          <c:y val="0.14441630467083141"/>
          <c:w val="0.67075302690760696"/>
          <c:h val="0.30016364198224521"/>
        </c:manualLayout>
      </c:layout>
      <c:barChart>
        <c:barDir val="bar"/>
        <c:grouping val="percentStacked"/>
        <c:varyColors val="0"/>
        <c:ser>
          <c:idx val="0"/>
          <c:order val="0"/>
          <c:tx>
            <c:strRef>
              <c:f>'3.4 Belyuen'!$B$5</c:f>
              <c:strCache>
                <c:ptCount val="1"/>
                <c:pt idx="0">
                  <c:v>Australian born</c:v>
                </c:pt>
              </c:strCache>
            </c:strRef>
          </c:tx>
          <c:spPr>
            <a:solidFill>
              <a:schemeClr val="dk1">
                <a:tint val="88500"/>
              </a:schemeClr>
            </a:solidFill>
            <a:ln w="19050">
              <a:solidFill>
                <a:schemeClr val="lt1"/>
              </a:solidFill>
            </a:ln>
            <a:effectLst/>
          </c:spPr>
          <c:invertIfNegative val="0"/>
          <c:cat>
            <c:strRef>
              <c:f>'3.4 Belyuen'!$C$4</c:f>
              <c:strCache>
                <c:ptCount val="1"/>
                <c:pt idx="0">
                  <c:v>% of population</c:v>
                </c:pt>
              </c:strCache>
            </c:strRef>
          </c:cat>
          <c:val>
            <c:numRef>
              <c:f>'3.4 Belyuen'!$C$5</c:f>
              <c:numCache>
                <c:formatCode>0%</c:formatCode>
                <c:ptCount val="1"/>
                <c:pt idx="0">
                  <c:v>1</c:v>
                </c:pt>
              </c:numCache>
            </c:numRef>
          </c:val>
          <c:extLst xmlns:c16r2="http://schemas.microsoft.com/office/drawing/2015/06/chart">
            <c:ext xmlns:c16="http://schemas.microsoft.com/office/drawing/2014/chart" uri="{C3380CC4-5D6E-409C-BE32-E72D297353CC}">
              <c16:uniqueId val="{00000000-5506-41C0-9E18-2CDE91E440D2}"/>
            </c:ext>
          </c:extLst>
        </c:ser>
        <c:ser>
          <c:idx val="1"/>
          <c:order val="1"/>
          <c:tx>
            <c:strRef>
              <c:f>'3.4 Belyuen'!$B$6</c:f>
              <c:strCache>
                <c:ptCount val="1"/>
                <c:pt idx="0">
                  <c:v>Birthplace not stated</c:v>
                </c:pt>
              </c:strCache>
            </c:strRef>
          </c:tx>
          <c:spPr>
            <a:solidFill>
              <a:schemeClr val="dk1">
                <a:tint val="55000"/>
              </a:schemeClr>
            </a:solidFill>
            <a:ln w="19050">
              <a:solidFill>
                <a:schemeClr val="lt1"/>
              </a:solidFill>
            </a:ln>
            <a:effectLst/>
          </c:spPr>
          <c:invertIfNegative val="0"/>
          <c:cat>
            <c:strRef>
              <c:f>'3.4 Belyuen'!$C$4</c:f>
              <c:strCache>
                <c:ptCount val="1"/>
                <c:pt idx="0">
                  <c:v>% of population</c:v>
                </c:pt>
              </c:strCache>
            </c:strRef>
          </c:cat>
          <c:val>
            <c:numRef>
              <c:f>'3.4 Belyuen'!$C$6</c:f>
              <c:numCache>
                <c:formatCode>0%</c:formatCode>
                <c:ptCount val="1"/>
                <c:pt idx="0">
                  <c:v>0</c:v>
                </c:pt>
              </c:numCache>
            </c:numRef>
          </c:val>
          <c:extLst xmlns:c16r2="http://schemas.microsoft.com/office/drawing/2015/06/chart">
            <c:ext xmlns:c16="http://schemas.microsoft.com/office/drawing/2014/chart" uri="{C3380CC4-5D6E-409C-BE32-E72D297353CC}">
              <c16:uniqueId val="{00000001-5506-41C0-9E18-2CDE91E440D2}"/>
            </c:ext>
          </c:extLst>
        </c:ser>
        <c:ser>
          <c:idx val="2"/>
          <c:order val="2"/>
          <c:tx>
            <c:v>Overseas born - MESC</c:v>
          </c:tx>
          <c:spPr>
            <a:solidFill>
              <a:schemeClr val="dk1">
                <a:tint val="75000"/>
              </a:schemeClr>
            </a:solidFill>
            <a:ln w="19050">
              <a:solidFill>
                <a:schemeClr val="lt1"/>
              </a:solidFill>
            </a:ln>
            <a:effectLst/>
          </c:spPr>
          <c:invertIfNegative val="0"/>
          <c:cat>
            <c:strRef>
              <c:f>'3.4 Belyuen'!$C$4</c:f>
              <c:strCache>
                <c:ptCount val="1"/>
                <c:pt idx="0">
                  <c:v>% of population</c:v>
                </c:pt>
              </c:strCache>
            </c:strRef>
          </c:cat>
          <c:val>
            <c:numRef>
              <c:f>'3.4 Belyuen'!$C$7</c:f>
              <c:numCache>
                <c:formatCode>0%</c:formatCode>
                <c:ptCount val="1"/>
                <c:pt idx="0">
                  <c:v>0</c:v>
                </c:pt>
              </c:numCache>
            </c:numRef>
          </c:val>
          <c:extLst xmlns:c16r2="http://schemas.microsoft.com/office/drawing/2015/06/chart">
            <c:ext xmlns:c16="http://schemas.microsoft.com/office/drawing/2014/chart" uri="{C3380CC4-5D6E-409C-BE32-E72D297353CC}">
              <c16:uniqueId val="{00000002-5506-41C0-9E18-2CDE91E440D2}"/>
            </c:ext>
          </c:extLst>
        </c:ser>
        <c:ser>
          <c:idx val="3"/>
          <c:order val="3"/>
          <c:tx>
            <c:strRef>
              <c:f>'3.4 Belyuen'!$B$8</c:f>
              <c:strCache>
                <c:ptCount val="1"/>
                <c:pt idx="0">
                  <c:v>Overseas born - NMESC</c:v>
                </c:pt>
              </c:strCache>
            </c:strRef>
          </c:tx>
          <c:spPr>
            <a:solidFill>
              <a:schemeClr val="dk1">
                <a:tint val="98500"/>
              </a:schemeClr>
            </a:solidFill>
            <a:ln w="19050">
              <a:solidFill>
                <a:schemeClr val="lt1"/>
              </a:solidFill>
            </a:ln>
            <a:effectLst/>
          </c:spPr>
          <c:invertIfNegative val="0"/>
          <c:cat>
            <c:strRef>
              <c:f>'3.4 Belyuen'!$C$4</c:f>
              <c:strCache>
                <c:ptCount val="1"/>
                <c:pt idx="0">
                  <c:v>% of population</c:v>
                </c:pt>
              </c:strCache>
            </c:strRef>
          </c:cat>
          <c:val>
            <c:numRef>
              <c:f>'3.4 Belyuen'!$C$8</c:f>
              <c:numCache>
                <c:formatCode>0%</c:formatCode>
                <c:ptCount val="1"/>
                <c:pt idx="0">
                  <c:v>0</c:v>
                </c:pt>
              </c:numCache>
            </c:numRef>
          </c:val>
          <c:extLst xmlns:c16r2="http://schemas.microsoft.com/office/drawing/2015/06/chart">
            <c:ext xmlns:c16="http://schemas.microsoft.com/office/drawing/2014/chart" uri="{C3380CC4-5D6E-409C-BE32-E72D297353CC}">
              <c16:uniqueId val="{00000003-5506-41C0-9E18-2CDE91E440D2}"/>
            </c:ext>
          </c:extLst>
        </c:ser>
        <c:dLbls>
          <c:showLegendKey val="0"/>
          <c:showVal val="0"/>
          <c:showCatName val="0"/>
          <c:showSerName val="0"/>
          <c:showPercent val="0"/>
          <c:showBubbleSize val="0"/>
        </c:dLbls>
        <c:gapWidth val="52"/>
        <c:overlap val="100"/>
        <c:axId val="177209440"/>
        <c:axId val="177209832"/>
      </c:barChart>
      <c:valAx>
        <c:axId val="17720983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77209440"/>
        <c:crosses val="autoZero"/>
        <c:crossBetween val="between"/>
        <c:minorUnit val="0.25"/>
      </c:valAx>
      <c:catAx>
        <c:axId val="177209440"/>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77209832"/>
        <c:crosses val="autoZero"/>
        <c:auto val="1"/>
        <c:lblAlgn val="ctr"/>
        <c:lblOffset val="100"/>
        <c:noMultiLvlLbl val="0"/>
      </c:catAx>
      <c:spPr>
        <a:noFill/>
        <a:ln>
          <a:noFill/>
        </a:ln>
        <a:effectLst/>
      </c:spPr>
    </c:plotArea>
    <c:legend>
      <c:legendPos val="b"/>
      <c:layout>
        <c:manualLayout>
          <c:xMode val="edge"/>
          <c:yMode val="edge"/>
          <c:x val="3.9536431028987726E-2"/>
          <c:y val="0.74103796524782506"/>
          <c:w val="0.95860875793266664"/>
          <c:h val="0.222376787176527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4"/>
              <c:pt idx="0">
                <c:v>Darwin (C)</c:v>
              </c:pt>
              <c:pt idx="1">
                <c:v>Palmerston (C)</c:v>
              </c:pt>
              <c:pt idx="2">
                <c:v>Alice Springs (T)</c:v>
              </c:pt>
              <c:pt idx="3">
                <c:v>Litchfield (M)</c:v>
              </c:pt>
            </c:strLit>
          </c:cat>
          <c:val>
            <c:numLit>
              <c:formatCode>General</c:formatCode>
              <c:ptCount val="4"/>
              <c:pt idx="0">
                <c:v>63.220675900000003</c:v>
              </c:pt>
              <c:pt idx="1">
                <c:v>13.121272400000001</c:v>
              </c:pt>
              <c:pt idx="2">
                <c:v>5.9642147000000003</c:v>
              </c:pt>
              <c:pt idx="3">
                <c:v>3.5785288</c:v>
              </c:pt>
            </c:numLit>
          </c:val>
          <c:extLst xmlns:c16r2="http://schemas.microsoft.com/office/drawing/2015/06/chart">
            <c:ext xmlns:c16="http://schemas.microsoft.com/office/drawing/2014/chart" uri="{C3380CC4-5D6E-409C-BE32-E72D297353CC}">
              <c16:uniqueId val="{00000000-71BD-884F-9E99-FA37098B136B}"/>
            </c:ext>
          </c:extLst>
        </c:ser>
        <c:dLbls>
          <c:showLegendKey val="0"/>
          <c:showVal val="0"/>
          <c:showCatName val="0"/>
          <c:showSerName val="0"/>
          <c:showPercent val="0"/>
          <c:showBubbleSize val="0"/>
        </c:dLbls>
        <c:gapWidth val="150"/>
        <c:axId val="328084760"/>
        <c:axId val="328933232"/>
      </c:barChart>
      <c:catAx>
        <c:axId val="328084760"/>
        <c:scaling>
          <c:orientation val="minMax"/>
        </c:scaling>
        <c:delete val="0"/>
        <c:axPos val="b"/>
        <c:numFmt formatCode="General" sourceLinked="0"/>
        <c:majorTickMark val="out"/>
        <c:minorTickMark val="none"/>
        <c:tickLblPos val="nextTo"/>
        <c:crossAx val="328933232"/>
        <c:crosses val="autoZero"/>
        <c:auto val="1"/>
        <c:lblAlgn val="ctr"/>
        <c:lblOffset val="100"/>
        <c:noMultiLvlLbl val="0"/>
      </c:catAx>
      <c:valAx>
        <c:axId val="328933232"/>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808476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3"/>
              <c:pt idx="0">
                <c:v>Darwin (C)</c:v>
              </c:pt>
              <c:pt idx="1">
                <c:v>Palmerston (C)</c:v>
              </c:pt>
              <c:pt idx="2">
                <c:v>Litchfield (M)</c:v>
              </c:pt>
            </c:strLit>
          </c:cat>
          <c:val>
            <c:numLit>
              <c:formatCode>General</c:formatCode>
              <c:ptCount val="3"/>
              <c:pt idx="0">
                <c:v>66.525423700000005</c:v>
              </c:pt>
              <c:pt idx="1">
                <c:v>8.2627118999999993</c:v>
              </c:pt>
              <c:pt idx="2">
                <c:v>6.7796609999999999</c:v>
              </c:pt>
            </c:numLit>
          </c:val>
          <c:extLst xmlns:c16r2="http://schemas.microsoft.com/office/drawing/2015/06/chart">
            <c:ext xmlns:c16="http://schemas.microsoft.com/office/drawing/2014/chart" uri="{C3380CC4-5D6E-409C-BE32-E72D297353CC}">
              <c16:uniqueId val="{00000000-06C3-A642-AAB8-405DE6B927AD}"/>
            </c:ext>
          </c:extLst>
        </c:ser>
        <c:dLbls>
          <c:showLegendKey val="0"/>
          <c:showVal val="0"/>
          <c:showCatName val="0"/>
          <c:showSerName val="0"/>
          <c:showPercent val="0"/>
          <c:showBubbleSize val="0"/>
        </c:dLbls>
        <c:gapWidth val="150"/>
        <c:axId val="328934016"/>
        <c:axId val="328934408"/>
      </c:barChart>
      <c:catAx>
        <c:axId val="328934016"/>
        <c:scaling>
          <c:orientation val="minMax"/>
        </c:scaling>
        <c:delete val="0"/>
        <c:axPos val="b"/>
        <c:numFmt formatCode="General" sourceLinked="0"/>
        <c:majorTickMark val="out"/>
        <c:minorTickMark val="none"/>
        <c:tickLblPos val="nextTo"/>
        <c:crossAx val="328934408"/>
        <c:crosses val="autoZero"/>
        <c:auto val="1"/>
        <c:lblAlgn val="ctr"/>
        <c:lblOffset val="100"/>
        <c:noMultiLvlLbl val="0"/>
      </c:catAx>
      <c:valAx>
        <c:axId val="328934408"/>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893401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35479154491164"/>
          <c:y val="4.359538405813352E-2"/>
          <c:w val="0.84538210656628821"/>
          <c:h val="0.79131558148811865"/>
        </c:manualLayout>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4"/>
              <c:pt idx="0">
                <c:v>Darwin (C)</c:v>
              </c:pt>
              <c:pt idx="1">
                <c:v>Litchfield (M)</c:v>
              </c:pt>
              <c:pt idx="2">
                <c:v>Palmerston (C)</c:v>
              </c:pt>
              <c:pt idx="3">
                <c:v>Alice Springs (T)</c:v>
              </c:pt>
            </c:strLit>
          </c:cat>
          <c:val>
            <c:numLit>
              <c:formatCode>General</c:formatCode>
              <c:ptCount val="4"/>
              <c:pt idx="0">
                <c:v>59.950859999999999</c:v>
              </c:pt>
              <c:pt idx="1">
                <c:v>11.793611800000001</c:v>
              </c:pt>
              <c:pt idx="2">
                <c:v>10.8108108</c:v>
              </c:pt>
              <c:pt idx="3">
                <c:v>6.3882063999999996</c:v>
              </c:pt>
            </c:numLit>
          </c:val>
          <c:extLst xmlns:c16r2="http://schemas.microsoft.com/office/drawing/2015/06/chart">
            <c:ext xmlns:c16="http://schemas.microsoft.com/office/drawing/2014/chart" uri="{C3380CC4-5D6E-409C-BE32-E72D297353CC}">
              <c16:uniqueId val="{00000000-A3A8-8F4D-94ED-149D1CF3B546}"/>
            </c:ext>
          </c:extLst>
        </c:ser>
        <c:dLbls>
          <c:showLegendKey val="0"/>
          <c:showVal val="0"/>
          <c:showCatName val="0"/>
          <c:showSerName val="0"/>
          <c:showPercent val="0"/>
          <c:showBubbleSize val="0"/>
        </c:dLbls>
        <c:gapWidth val="150"/>
        <c:axId val="328935192"/>
        <c:axId val="328935584"/>
      </c:barChart>
      <c:catAx>
        <c:axId val="328935192"/>
        <c:scaling>
          <c:orientation val="minMax"/>
        </c:scaling>
        <c:delete val="0"/>
        <c:axPos val="b"/>
        <c:numFmt formatCode="General" sourceLinked="0"/>
        <c:majorTickMark val="out"/>
        <c:minorTickMark val="none"/>
        <c:tickLblPos val="nextTo"/>
        <c:crossAx val="328935584"/>
        <c:crosses val="autoZero"/>
        <c:auto val="1"/>
        <c:lblAlgn val="ctr"/>
        <c:lblOffset val="100"/>
        <c:noMultiLvlLbl val="0"/>
      </c:catAx>
      <c:valAx>
        <c:axId val="328935584"/>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8935192"/>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4"/>
              <c:pt idx="0">
                <c:v>Darwin (C)</c:v>
              </c:pt>
              <c:pt idx="1">
                <c:v>Litchfield (M)</c:v>
              </c:pt>
              <c:pt idx="2">
                <c:v>Alice Springs (T)</c:v>
              </c:pt>
              <c:pt idx="3">
                <c:v>Palmerston (C)</c:v>
              </c:pt>
            </c:strLit>
          </c:cat>
          <c:val>
            <c:numLit>
              <c:formatCode>General</c:formatCode>
              <c:ptCount val="4"/>
              <c:pt idx="0">
                <c:v>67.185289999999995</c:v>
              </c:pt>
              <c:pt idx="1">
                <c:v>13.861386100000001</c:v>
              </c:pt>
              <c:pt idx="2">
                <c:v>7.2135784999999997</c:v>
              </c:pt>
              <c:pt idx="3">
                <c:v>4.8090523000000003</c:v>
              </c:pt>
            </c:numLit>
          </c:val>
          <c:extLst xmlns:c16r2="http://schemas.microsoft.com/office/drawing/2015/06/chart">
            <c:ext xmlns:c16="http://schemas.microsoft.com/office/drawing/2014/chart" uri="{C3380CC4-5D6E-409C-BE32-E72D297353CC}">
              <c16:uniqueId val="{00000000-E961-7B44-B88A-1C007E40D38B}"/>
            </c:ext>
          </c:extLst>
        </c:ser>
        <c:dLbls>
          <c:showLegendKey val="0"/>
          <c:showVal val="0"/>
          <c:showCatName val="0"/>
          <c:showSerName val="0"/>
          <c:showPercent val="0"/>
          <c:showBubbleSize val="0"/>
        </c:dLbls>
        <c:gapWidth val="150"/>
        <c:axId val="328936368"/>
        <c:axId val="328936760"/>
      </c:barChart>
      <c:catAx>
        <c:axId val="328936368"/>
        <c:scaling>
          <c:orientation val="minMax"/>
        </c:scaling>
        <c:delete val="0"/>
        <c:axPos val="b"/>
        <c:numFmt formatCode="General" sourceLinked="0"/>
        <c:majorTickMark val="out"/>
        <c:minorTickMark val="none"/>
        <c:tickLblPos val="nextTo"/>
        <c:crossAx val="328936760"/>
        <c:crosses val="autoZero"/>
        <c:auto val="1"/>
        <c:lblAlgn val="ctr"/>
        <c:lblOffset val="100"/>
        <c:noMultiLvlLbl val="0"/>
      </c:catAx>
      <c:valAx>
        <c:axId val="328936760"/>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893636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3"/>
              <c:pt idx="0">
                <c:v>Darwin (C)</c:v>
              </c:pt>
              <c:pt idx="1">
                <c:v>Palmerston (C)</c:v>
              </c:pt>
              <c:pt idx="2">
                <c:v>Litchfield (M)</c:v>
              </c:pt>
            </c:strLit>
          </c:cat>
          <c:val>
            <c:numLit>
              <c:formatCode>General</c:formatCode>
              <c:ptCount val="3"/>
              <c:pt idx="0">
                <c:v>76.119403000000005</c:v>
              </c:pt>
              <c:pt idx="1">
                <c:v>11.442786099999999</c:v>
              </c:pt>
              <c:pt idx="2">
                <c:v>9.9502488000000007</c:v>
              </c:pt>
            </c:numLit>
          </c:val>
          <c:extLst xmlns:c16r2="http://schemas.microsoft.com/office/drawing/2015/06/chart">
            <c:ext xmlns:c16="http://schemas.microsoft.com/office/drawing/2014/chart" uri="{C3380CC4-5D6E-409C-BE32-E72D297353CC}">
              <c16:uniqueId val="{00000000-8FCE-4B42-92B3-0E39008C28B0}"/>
            </c:ext>
          </c:extLst>
        </c:ser>
        <c:dLbls>
          <c:showLegendKey val="0"/>
          <c:showVal val="0"/>
          <c:showCatName val="0"/>
          <c:showSerName val="0"/>
          <c:showPercent val="0"/>
          <c:showBubbleSize val="0"/>
        </c:dLbls>
        <c:gapWidth val="150"/>
        <c:axId val="328937544"/>
        <c:axId val="328937936"/>
      </c:barChart>
      <c:catAx>
        <c:axId val="328937544"/>
        <c:scaling>
          <c:orientation val="minMax"/>
        </c:scaling>
        <c:delete val="0"/>
        <c:axPos val="b"/>
        <c:numFmt formatCode="General" sourceLinked="0"/>
        <c:majorTickMark val="out"/>
        <c:minorTickMark val="none"/>
        <c:tickLblPos val="nextTo"/>
        <c:crossAx val="328937936"/>
        <c:crosses val="autoZero"/>
        <c:auto val="1"/>
        <c:lblAlgn val="ctr"/>
        <c:lblOffset val="100"/>
        <c:noMultiLvlLbl val="0"/>
      </c:catAx>
      <c:valAx>
        <c:axId val="328937936"/>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8937544"/>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4"/>
              <c:pt idx="0">
                <c:v>Darwin (C)</c:v>
              </c:pt>
              <c:pt idx="1">
                <c:v>Litchfield (M)</c:v>
              </c:pt>
              <c:pt idx="2">
                <c:v>Palmerston (C)</c:v>
              </c:pt>
              <c:pt idx="3">
                <c:v>Katherine (T)</c:v>
              </c:pt>
            </c:strLit>
          </c:cat>
          <c:val>
            <c:numLit>
              <c:formatCode>General</c:formatCode>
              <c:ptCount val="4"/>
              <c:pt idx="0">
                <c:v>79.928951999999995</c:v>
              </c:pt>
              <c:pt idx="1">
                <c:v>8.5257549000000008</c:v>
              </c:pt>
              <c:pt idx="2">
                <c:v>4.5293073000000001</c:v>
              </c:pt>
              <c:pt idx="3">
                <c:v>3.285968</c:v>
              </c:pt>
            </c:numLit>
          </c:val>
          <c:extLst xmlns:c16r2="http://schemas.microsoft.com/office/drawing/2015/06/chart">
            <c:ext xmlns:c16="http://schemas.microsoft.com/office/drawing/2014/chart" uri="{C3380CC4-5D6E-409C-BE32-E72D297353CC}">
              <c16:uniqueId val="{00000000-F57A-4E4D-84E1-7BC64AD49B1B}"/>
            </c:ext>
          </c:extLst>
        </c:ser>
        <c:dLbls>
          <c:showLegendKey val="0"/>
          <c:showVal val="0"/>
          <c:showCatName val="0"/>
          <c:showSerName val="0"/>
          <c:showPercent val="0"/>
          <c:showBubbleSize val="0"/>
        </c:dLbls>
        <c:gapWidth val="150"/>
        <c:axId val="328938720"/>
        <c:axId val="328939112"/>
      </c:barChart>
      <c:catAx>
        <c:axId val="328938720"/>
        <c:scaling>
          <c:orientation val="minMax"/>
        </c:scaling>
        <c:delete val="0"/>
        <c:axPos val="b"/>
        <c:numFmt formatCode="General" sourceLinked="0"/>
        <c:majorTickMark val="out"/>
        <c:minorTickMark val="none"/>
        <c:tickLblPos val="nextTo"/>
        <c:crossAx val="328939112"/>
        <c:crosses val="autoZero"/>
        <c:auto val="1"/>
        <c:lblAlgn val="ctr"/>
        <c:lblOffset val="100"/>
        <c:noMultiLvlLbl val="0"/>
      </c:catAx>
      <c:valAx>
        <c:axId val="328939112"/>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893872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35479154491164"/>
          <c:y val="4.359538405813352E-2"/>
          <c:w val="0.84538210656628821"/>
          <c:h val="0.79131558148811865"/>
        </c:manualLayout>
      </c:layout>
      <c:barChart>
        <c:barDir val="col"/>
        <c:grouping val="clustered"/>
        <c:varyColors val="0"/>
        <c:ser>
          <c:idx val="0"/>
          <c:order val="0"/>
          <c:spPr>
            <a:solidFill>
              <a:schemeClr val="bg1">
                <a:lumMod val="75000"/>
              </a:schemeClr>
            </a:solidFill>
            <a:ln>
              <a:solidFill>
                <a:schemeClr val="bg1">
                  <a:lumMod val="75000"/>
                </a:schemeClr>
              </a:solidFill>
            </a:ln>
          </c:spPr>
          <c:invertIfNegative val="0"/>
          <c:cat>
            <c:strLit>
              <c:ptCount val="6"/>
              <c:pt idx="0">
                <c:v>Darwin (C)</c:v>
              </c:pt>
              <c:pt idx="1">
                <c:v>Palmerston (C)</c:v>
              </c:pt>
              <c:pt idx="2">
                <c:v>Alice Springs (T)</c:v>
              </c:pt>
              <c:pt idx="3">
                <c:v>Litchfield (M)</c:v>
              </c:pt>
              <c:pt idx="4">
                <c:v>No usual address (NT)</c:v>
              </c:pt>
              <c:pt idx="5">
                <c:v>Katherine (T)</c:v>
              </c:pt>
            </c:strLit>
          </c:cat>
          <c:val>
            <c:numLit>
              <c:formatCode>General</c:formatCode>
              <c:ptCount val="6"/>
              <c:pt idx="0">
                <c:v>39.667458400000001</c:v>
              </c:pt>
              <c:pt idx="1">
                <c:v>16.389548699999999</c:v>
              </c:pt>
              <c:pt idx="2">
                <c:v>13.539192399999999</c:v>
              </c:pt>
              <c:pt idx="3">
                <c:v>12.114014299999999</c:v>
              </c:pt>
              <c:pt idx="4">
                <c:v>4.7505937999999999</c:v>
              </c:pt>
              <c:pt idx="5">
                <c:v>3.8004750999999999</c:v>
              </c:pt>
            </c:numLit>
          </c:val>
          <c:extLst xmlns:c16r2="http://schemas.microsoft.com/office/drawing/2015/06/chart">
            <c:ext xmlns:c16="http://schemas.microsoft.com/office/drawing/2014/chart" uri="{C3380CC4-5D6E-409C-BE32-E72D297353CC}">
              <c16:uniqueId val="{00000000-AE8A-C248-B72A-8027FCD53280}"/>
            </c:ext>
          </c:extLst>
        </c:ser>
        <c:dLbls>
          <c:showLegendKey val="0"/>
          <c:showVal val="0"/>
          <c:showCatName val="0"/>
          <c:showSerName val="0"/>
          <c:showPercent val="0"/>
          <c:showBubbleSize val="0"/>
        </c:dLbls>
        <c:gapWidth val="150"/>
        <c:axId val="328939896"/>
        <c:axId val="328940288"/>
      </c:barChart>
      <c:catAx>
        <c:axId val="328939896"/>
        <c:scaling>
          <c:orientation val="minMax"/>
        </c:scaling>
        <c:delete val="0"/>
        <c:axPos val="b"/>
        <c:numFmt formatCode="General" sourceLinked="0"/>
        <c:majorTickMark val="out"/>
        <c:minorTickMark val="none"/>
        <c:tickLblPos val="nextTo"/>
        <c:crossAx val="328940288"/>
        <c:crosses val="autoZero"/>
        <c:auto val="1"/>
        <c:lblAlgn val="ctr"/>
        <c:lblOffset val="100"/>
        <c:noMultiLvlLbl val="0"/>
      </c:catAx>
      <c:valAx>
        <c:axId val="328940288"/>
        <c:scaling>
          <c:orientation val="minMax"/>
        </c:scaling>
        <c:delete val="0"/>
        <c:axPos val="l"/>
        <c:title>
          <c:tx>
            <c:rich>
              <a:bodyPr rot="-5400000" vert="horz"/>
              <a:lstStyle/>
              <a:p>
                <a:pPr>
                  <a:defRPr b="0"/>
                </a:pPr>
                <a:r>
                  <a:rPr lang="en-US" b="0"/>
                  <a:t>% total birthplace population</a:t>
                </a:r>
              </a:p>
            </c:rich>
          </c:tx>
          <c:overlay val="0"/>
        </c:title>
        <c:numFmt formatCode="General" sourceLinked="1"/>
        <c:majorTickMark val="out"/>
        <c:minorTickMark val="none"/>
        <c:tickLblPos val="nextTo"/>
        <c:crossAx val="32893989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 change 2011-2016</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222009167693379E-2"/>
          <c:y val="0.17706477518080996"/>
          <c:w val="0.8731842314498961"/>
          <c:h val="0.4034258318516637"/>
        </c:manualLayout>
      </c:layout>
      <c:barChart>
        <c:barDir val="bar"/>
        <c:grouping val="clustered"/>
        <c:varyColors val="0"/>
        <c:ser>
          <c:idx val="0"/>
          <c:order val="0"/>
          <c:tx>
            <c:strRef>
              <c:f>'3.5 Central Desert'!$B$15</c:f>
              <c:strCache>
                <c:ptCount val="1"/>
                <c:pt idx="0">
                  <c:v>Population</c:v>
                </c:pt>
              </c:strCache>
            </c:strRef>
          </c:tx>
          <c:spPr>
            <a:solidFill>
              <a:schemeClr val="dk1">
                <a:tint val="88500"/>
              </a:schemeClr>
            </a:solidFill>
            <a:ln>
              <a:noFill/>
            </a:ln>
            <a:effectLst/>
          </c:spPr>
          <c:invertIfNegative val="0"/>
          <c:val>
            <c:numRef>
              <c:f>'3.5 Central Desert'!$G$15</c:f>
              <c:numCache>
                <c:formatCode>0%</c:formatCode>
                <c:ptCount val="1"/>
                <c:pt idx="0">
                  <c:v>-1.2637805861790804E-2</c:v>
                </c:pt>
              </c:numCache>
            </c:numRef>
          </c:val>
          <c:extLst xmlns:c16r2="http://schemas.microsoft.com/office/drawing/2015/06/chart">
            <c:ext xmlns:c16="http://schemas.microsoft.com/office/drawing/2014/chart" uri="{C3380CC4-5D6E-409C-BE32-E72D297353CC}">
              <c16:uniqueId val="{00000000-666D-4C91-A74A-1976337E8A65}"/>
            </c:ext>
          </c:extLst>
        </c:ser>
        <c:ser>
          <c:idx val="1"/>
          <c:order val="1"/>
          <c:tx>
            <c:strRef>
              <c:f>'3.5 Central Desert'!$B$17</c:f>
              <c:strCache>
                <c:ptCount val="1"/>
                <c:pt idx="0">
                  <c:v>Overseas born (a)</c:v>
                </c:pt>
              </c:strCache>
            </c:strRef>
          </c:tx>
          <c:spPr>
            <a:solidFill>
              <a:schemeClr val="dk1">
                <a:tint val="55000"/>
              </a:schemeClr>
            </a:solidFill>
            <a:ln>
              <a:noFill/>
            </a:ln>
            <a:effectLst/>
          </c:spPr>
          <c:invertIfNegative val="0"/>
          <c:val>
            <c:numRef>
              <c:f>'3.5 Central Desert'!$G$17</c:f>
              <c:numCache>
                <c:formatCode>0%</c:formatCode>
                <c:ptCount val="1"/>
                <c:pt idx="0">
                  <c:v>0.29487179487179488</c:v>
                </c:pt>
              </c:numCache>
            </c:numRef>
          </c:val>
          <c:extLst xmlns:c16r2="http://schemas.microsoft.com/office/drawing/2015/06/chart">
            <c:ext xmlns:c16="http://schemas.microsoft.com/office/drawing/2014/chart" uri="{C3380CC4-5D6E-409C-BE32-E72D297353CC}">
              <c16:uniqueId val="{00000001-666D-4C91-A74A-1976337E8A65}"/>
            </c:ext>
          </c:extLst>
        </c:ser>
        <c:ser>
          <c:idx val="2"/>
          <c:order val="2"/>
          <c:tx>
            <c:strRef>
              <c:f>'3.5 Central Desert'!$B$16</c:f>
              <c:strCache>
                <c:ptCount val="1"/>
                <c:pt idx="0">
                  <c:v>Australian born</c:v>
                </c:pt>
              </c:strCache>
            </c:strRef>
          </c:tx>
          <c:spPr>
            <a:solidFill>
              <a:schemeClr val="dk1">
                <a:tint val="75000"/>
              </a:schemeClr>
            </a:solidFill>
            <a:ln>
              <a:noFill/>
            </a:ln>
            <a:effectLst/>
          </c:spPr>
          <c:invertIfNegative val="0"/>
          <c:dPt>
            <c:idx val="0"/>
            <c:invertIfNegative val="0"/>
            <c:bubble3D val="0"/>
            <c:spPr>
              <a:solidFill>
                <a:schemeClr val="bg1">
                  <a:lumMod val="85000"/>
                </a:schemeClr>
              </a:solidFill>
              <a:ln>
                <a:noFill/>
              </a:ln>
              <a:effectLst/>
            </c:spPr>
            <c:extLst xmlns:c16r2="http://schemas.microsoft.com/office/drawing/2015/06/chart">
              <c:ext xmlns:c16="http://schemas.microsoft.com/office/drawing/2014/chart" uri="{C3380CC4-5D6E-409C-BE32-E72D297353CC}">
                <c16:uniqueId val="{00000003-666D-4C91-A74A-1976337E8A65}"/>
              </c:ext>
            </c:extLst>
          </c:dPt>
          <c:val>
            <c:numRef>
              <c:f>'3.5 Central Desert'!$G$16</c:f>
              <c:numCache>
                <c:formatCode>0%</c:formatCode>
                <c:ptCount val="1"/>
                <c:pt idx="0">
                  <c:v>-4.2889390519187359E-2</c:v>
                </c:pt>
              </c:numCache>
            </c:numRef>
          </c:val>
          <c:extLst xmlns:c16r2="http://schemas.microsoft.com/office/drawing/2015/06/chart">
            <c:ext xmlns:c16="http://schemas.microsoft.com/office/drawing/2014/chart" uri="{C3380CC4-5D6E-409C-BE32-E72D297353CC}">
              <c16:uniqueId val="{00000004-666D-4C91-A74A-1976337E8A65}"/>
            </c:ext>
          </c:extLst>
        </c:ser>
        <c:ser>
          <c:idx val="3"/>
          <c:order val="3"/>
          <c:tx>
            <c:strRef>
              <c:f>'3.5 Central Desert'!$B$20</c:f>
              <c:strCache>
                <c:ptCount val="1"/>
                <c:pt idx="0">
                  <c:v>Overseas born - NMESC</c:v>
                </c:pt>
              </c:strCache>
            </c:strRef>
          </c:tx>
          <c:spPr>
            <a:solidFill>
              <a:schemeClr val="dk1">
                <a:tint val="98500"/>
              </a:schemeClr>
            </a:solidFill>
            <a:ln>
              <a:noFill/>
            </a:ln>
            <a:effectLst/>
          </c:spPr>
          <c:invertIfNegative val="0"/>
          <c:val>
            <c:numRef>
              <c:f>'3.5 Central Desert'!$G$20</c:f>
              <c:numCache>
                <c:formatCode>0%</c:formatCode>
                <c:ptCount val="1"/>
                <c:pt idx="0">
                  <c:v>0.54166666666666663</c:v>
                </c:pt>
              </c:numCache>
            </c:numRef>
          </c:val>
          <c:extLst xmlns:c16r2="http://schemas.microsoft.com/office/drawing/2015/06/chart">
            <c:ext xmlns:c16="http://schemas.microsoft.com/office/drawing/2014/chart" uri="{C3380CC4-5D6E-409C-BE32-E72D297353CC}">
              <c16:uniqueId val="{00000005-666D-4C91-A74A-1976337E8A65}"/>
            </c:ext>
          </c:extLst>
        </c:ser>
        <c:dLbls>
          <c:showLegendKey val="0"/>
          <c:showVal val="0"/>
          <c:showCatName val="0"/>
          <c:showSerName val="0"/>
          <c:showPercent val="0"/>
          <c:showBubbleSize val="0"/>
        </c:dLbls>
        <c:gapWidth val="182"/>
        <c:axId val="177208656"/>
        <c:axId val="177210616"/>
      </c:barChart>
      <c:catAx>
        <c:axId val="177208656"/>
        <c:scaling>
          <c:orientation val="minMax"/>
        </c:scaling>
        <c:delete val="1"/>
        <c:axPos val="l"/>
        <c:majorTickMark val="none"/>
        <c:minorTickMark val="none"/>
        <c:tickLblPos val="nextTo"/>
        <c:crossAx val="177210616"/>
        <c:crosses val="autoZero"/>
        <c:auto val="1"/>
        <c:lblAlgn val="ctr"/>
        <c:lblOffset val="100"/>
        <c:noMultiLvlLbl val="0"/>
      </c:catAx>
      <c:valAx>
        <c:axId val="177210616"/>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77208656"/>
        <c:crosses val="autoZero"/>
        <c:crossBetween val="between"/>
      </c:valAx>
      <c:spPr>
        <a:noFill/>
        <a:ln>
          <a:noFill/>
        </a:ln>
        <a:effectLst/>
      </c:spPr>
    </c:plotArea>
    <c:legend>
      <c:legendPos val="b"/>
      <c:layout>
        <c:manualLayout>
          <c:xMode val="edge"/>
          <c:yMode val="edge"/>
          <c:x val="2.2460806900058351E-2"/>
          <c:y val="0.73878968757937535"/>
          <c:w val="0.97519465587619847"/>
          <c:h val="0.223235966471932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23829604490624526"/>
          <c:y val="0.11261335705439227"/>
          <c:w val="0.64880659149503428"/>
          <c:h val="0.46749812678958497"/>
        </c:manualLayout>
      </c:layout>
      <c:barChart>
        <c:barDir val="bar"/>
        <c:grouping val="percentStacked"/>
        <c:varyColors val="0"/>
        <c:ser>
          <c:idx val="0"/>
          <c:order val="0"/>
          <c:tx>
            <c:strRef>
              <c:f>'3.5 Central Desert'!$B$7</c:f>
              <c:strCache>
                <c:ptCount val="1"/>
                <c:pt idx="0">
                  <c:v>Australian born</c:v>
                </c:pt>
              </c:strCache>
            </c:strRef>
          </c:tx>
          <c:spPr>
            <a:solidFill>
              <a:schemeClr val="dk1">
                <a:tint val="88500"/>
              </a:schemeClr>
            </a:solidFill>
            <a:ln w="19050">
              <a:solidFill>
                <a:schemeClr val="lt1"/>
              </a:solidFill>
            </a:ln>
            <a:effectLst/>
          </c:spPr>
          <c:invertIfNegative val="0"/>
          <c:cat>
            <c:strRef>
              <c:f>'3.5 Central Desert'!$C$6</c:f>
              <c:strCache>
                <c:ptCount val="1"/>
                <c:pt idx="0">
                  <c:v>% of population</c:v>
                </c:pt>
              </c:strCache>
            </c:strRef>
          </c:cat>
          <c:val>
            <c:numRef>
              <c:f>'3.5 Central Desert'!$C$7</c:f>
              <c:numCache>
                <c:formatCode>0%</c:formatCode>
                <c:ptCount val="1"/>
                <c:pt idx="0">
                  <c:v>0.92374727668845313</c:v>
                </c:pt>
              </c:numCache>
            </c:numRef>
          </c:val>
          <c:extLst xmlns:c16r2="http://schemas.microsoft.com/office/drawing/2015/06/chart">
            <c:ext xmlns:c16="http://schemas.microsoft.com/office/drawing/2014/chart" uri="{C3380CC4-5D6E-409C-BE32-E72D297353CC}">
              <c16:uniqueId val="{00000000-0EF4-42D2-99F0-677EECEF9E29}"/>
            </c:ext>
          </c:extLst>
        </c:ser>
        <c:ser>
          <c:idx val="1"/>
          <c:order val="1"/>
          <c:tx>
            <c:strRef>
              <c:f>'3.5 Central Desert'!$B$8</c:f>
              <c:strCache>
                <c:ptCount val="1"/>
                <c:pt idx="0">
                  <c:v>Birthplace not stated</c:v>
                </c:pt>
              </c:strCache>
            </c:strRef>
          </c:tx>
          <c:spPr>
            <a:solidFill>
              <a:schemeClr val="dk1">
                <a:tint val="55000"/>
              </a:schemeClr>
            </a:solidFill>
            <a:ln w="19050">
              <a:solidFill>
                <a:schemeClr val="lt1"/>
              </a:solidFill>
            </a:ln>
            <a:effectLst/>
          </c:spPr>
          <c:invertIfNegative val="0"/>
          <c:cat>
            <c:strRef>
              <c:f>'3.5 Central Desert'!$C$6</c:f>
              <c:strCache>
                <c:ptCount val="1"/>
                <c:pt idx="0">
                  <c:v>% of population</c:v>
                </c:pt>
              </c:strCache>
            </c:strRef>
          </c:cat>
          <c:val>
            <c:numRef>
              <c:f>'3.5 Central Desert'!$C$8</c:f>
              <c:numCache>
                <c:formatCode>0%</c:formatCode>
                <c:ptCount val="1"/>
                <c:pt idx="0">
                  <c:v>4.7657952069716777E-2</c:v>
                </c:pt>
              </c:numCache>
            </c:numRef>
          </c:val>
          <c:extLst xmlns:c16r2="http://schemas.microsoft.com/office/drawing/2015/06/chart">
            <c:ext xmlns:c16="http://schemas.microsoft.com/office/drawing/2014/chart" uri="{C3380CC4-5D6E-409C-BE32-E72D297353CC}">
              <c16:uniqueId val="{00000001-0EF4-42D2-99F0-677EECEF9E29}"/>
            </c:ext>
          </c:extLst>
        </c:ser>
        <c:ser>
          <c:idx val="2"/>
          <c:order val="2"/>
          <c:tx>
            <c:v>Overseas born - MESC</c:v>
          </c:tx>
          <c:spPr>
            <a:solidFill>
              <a:schemeClr val="dk1">
                <a:tint val="75000"/>
              </a:schemeClr>
            </a:solidFill>
            <a:ln w="19050">
              <a:solidFill>
                <a:schemeClr val="lt1"/>
              </a:solidFill>
            </a:ln>
            <a:effectLst/>
          </c:spPr>
          <c:invertIfNegative val="0"/>
          <c:cat>
            <c:strRef>
              <c:f>'3.5 Central Desert'!$C$6</c:f>
              <c:strCache>
                <c:ptCount val="1"/>
                <c:pt idx="0">
                  <c:v>% of population</c:v>
                </c:pt>
              </c:strCache>
            </c:strRef>
          </c:cat>
          <c:val>
            <c:numRef>
              <c:f>'3.5 Central Desert'!$C$9</c:f>
              <c:numCache>
                <c:formatCode>0%</c:formatCode>
                <c:ptCount val="1"/>
                <c:pt idx="0">
                  <c:v>1.8790849673202614E-2</c:v>
                </c:pt>
              </c:numCache>
            </c:numRef>
          </c:val>
          <c:extLst xmlns:c16r2="http://schemas.microsoft.com/office/drawing/2015/06/chart">
            <c:ext xmlns:c16="http://schemas.microsoft.com/office/drawing/2014/chart" uri="{C3380CC4-5D6E-409C-BE32-E72D297353CC}">
              <c16:uniqueId val="{00000002-0EF4-42D2-99F0-677EECEF9E29}"/>
            </c:ext>
          </c:extLst>
        </c:ser>
        <c:ser>
          <c:idx val="3"/>
          <c:order val="3"/>
          <c:tx>
            <c:strRef>
              <c:f>'3.5 Central Desert'!$B$11</c:f>
              <c:strCache>
                <c:ptCount val="1"/>
                <c:pt idx="0">
                  <c:v>Overseas born - NMESC</c:v>
                </c:pt>
              </c:strCache>
            </c:strRef>
          </c:tx>
          <c:spPr>
            <a:solidFill>
              <a:schemeClr val="dk1">
                <a:tint val="98500"/>
              </a:schemeClr>
            </a:solidFill>
            <a:ln w="19050">
              <a:solidFill>
                <a:schemeClr val="lt1"/>
              </a:solidFill>
            </a:ln>
            <a:effectLst/>
          </c:spPr>
          <c:invertIfNegative val="0"/>
          <c:cat>
            <c:strRef>
              <c:f>'3.5 Central Desert'!$C$6</c:f>
              <c:strCache>
                <c:ptCount val="1"/>
                <c:pt idx="0">
                  <c:v>% of population</c:v>
                </c:pt>
              </c:strCache>
            </c:strRef>
          </c:cat>
          <c:val>
            <c:numRef>
              <c:f>'3.5 Central Desert'!$C$11</c:f>
              <c:numCache>
                <c:formatCode>0%</c:formatCode>
                <c:ptCount val="1"/>
                <c:pt idx="0">
                  <c:v>1.0076252723311547E-2</c:v>
                </c:pt>
              </c:numCache>
            </c:numRef>
          </c:val>
          <c:extLst xmlns:c16r2="http://schemas.microsoft.com/office/drawing/2015/06/chart">
            <c:ext xmlns:c16="http://schemas.microsoft.com/office/drawing/2014/chart" uri="{C3380CC4-5D6E-409C-BE32-E72D297353CC}">
              <c16:uniqueId val="{00000003-0EF4-42D2-99F0-677EECEF9E29}"/>
            </c:ext>
          </c:extLst>
        </c:ser>
        <c:dLbls>
          <c:showLegendKey val="0"/>
          <c:showVal val="0"/>
          <c:showCatName val="0"/>
          <c:showSerName val="0"/>
          <c:showPercent val="0"/>
          <c:showBubbleSize val="0"/>
        </c:dLbls>
        <c:gapWidth val="52"/>
        <c:overlap val="100"/>
        <c:axId val="320093024"/>
        <c:axId val="128079360"/>
      </c:barChart>
      <c:valAx>
        <c:axId val="128079360"/>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0093024"/>
        <c:crosses val="autoZero"/>
        <c:crossBetween val="between"/>
        <c:minorUnit val="0.25"/>
      </c:valAx>
      <c:catAx>
        <c:axId val="320093024"/>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28079360"/>
        <c:crosses val="autoZero"/>
        <c:auto val="1"/>
        <c:lblAlgn val="ctr"/>
        <c:lblOffset val="100"/>
        <c:noMultiLvlLbl val="0"/>
      </c:catAx>
      <c:spPr>
        <a:noFill/>
        <a:ln>
          <a:noFill/>
        </a:ln>
        <a:effectLst/>
      </c:spPr>
    </c:plotArea>
    <c:legend>
      <c:legendPos val="b"/>
      <c:layout>
        <c:manualLayout>
          <c:xMode val="edge"/>
          <c:yMode val="edge"/>
          <c:x val="5.6672514381298309E-3"/>
          <c:y val="0.73724780931813394"/>
          <c:w val="0.97312145567296315"/>
          <c:h val="0.2261668072627267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 change 2011-2016</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222009167693379E-2"/>
          <c:y val="0.17706477518080996"/>
          <c:w val="0.8731842314498961"/>
          <c:h val="0.45987756111637879"/>
        </c:manualLayout>
      </c:layout>
      <c:barChart>
        <c:barDir val="bar"/>
        <c:grouping val="clustered"/>
        <c:varyColors val="0"/>
        <c:ser>
          <c:idx val="0"/>
          <c:order val="0"/>
          <c:tx>
            <c:strRef>
              <c:f>'3.6 Coomalie'!$B$15</c:f>
              <c:strCache>
                <c:ptCount val="1"/>
                <c:pt idx="0">
                  <c:v>Population</c:v>
                </c:pt>
              </c:strCache>
            </c:strRef>
          </c:tx>
          <c:spPr>
            <a:solidFill>
              <a:schemeClr val="dk1">
                <a:tint val="88500"/>
              </a:schemeClr>
            </a:solidFill>
            <a:ln>
              <a:noFill/>
            </a:ln>
            <a:effectLst/>
          </c:spPr>
          <c:invertIfNegative val="0"/>
          <c:val>
            <c:numRef>
              <c:f>'3.6 Coomalie'!$G$15</c:f>
              <c:numCache>
                <c:formatCode>0%</c:formatCode>
                <c:ptCount val="1"/>
                <c:pt idx="0">
                  <c:v>0.19384057971014493</c:v>
                </c:pt>
              </c:numCache>
            </c:numRef>
          </c:val>
          <c:extLst xmlns:c16r2="http://schemas.microsoft.com/office/drawing/2015/06/chart">
            <c:ext xmlns:c16="http://schemas.microsoft.com/office/drawing/2014/chart" uri="{C3380CC4-5D6E-409C-BE32-E72D297353CC}">
              <c16:uniqueId val="{00000000-25AE-4DEA-B3CA-EB257C9841ED}"/>
            </c:ext>
          </c:extLst>
        </c:ser>
        <c:ser>
          <c:idx val="1"/>
          <c:order val="1"/>
          <c:tx>
            <c:strRef>
              <c:f>'3.6 Coomalie'!$B$17</c:f>
              <c:strCache>
                <c:ptCount val="1"/>
                <c:pt idx="0">
                  <c:v>Overseas born (a)</c:v>
                </c:pt>
              </c:strCache>
            </c:strRef>
          </c:tx>
          <c:spPr>
            <a:solidFill>
              <a:schemeClr val="dk1">
                <a:tint val="55000"/>
              </a:schemeClr>
            </a:solidFill>
            <a:ln>
              <a:noFill/>
            </a:ln>
            <a:effectLst/>
          </c:spPr>
          <c:invertIfNegative val="0"/>
          <c:val>
            <c:numRef>
              <c:f>'3.6 Coomalie'!$G$17</c:f>
              <c:numCache>
                <c:formatCode>0%</c:formatCode>
                <c:ptCount val="1"/>
                <c:pt idx="0">
                  <c:v>0.11188811188811189</c:v>
                </c:pt>
              </c:numCache>
            </c:numRef>
          </c:val>
          <c:extLst xmlns:c16r2="http://schemas.microsoft.com/office/drawing/2015/06/chart">
            <c:ext xmlns:c16="http://schemas.microsoft.com/office/drawing/2014/chart" uri="{C3380CC4-5D6E-409C-BE32-E72D297353CC}">
              <c16:uniqueId val="{00000001-25AE-4DEA-B3CA-EB257C9841ED}"/>
            </c:ext>
          </c:extLst>
        </c:ser>
        <c:ser>
          <c:idx val="2"/>
          <c:order val="2"/>
          <c:tx>
            <c:strRef>
              <c:f>'3.6 Coomalie'!$B$16</c:f>
              <c:strCache>
                <c:ptCount val="1"/>
                <c:pt idx="0">
                  <c:v>Australian born</c:v>
                </c:pt>
              </c:strCache>
            </c:strRef>
          </c:tx>
          <c:spPr>
            <a:solidFill>
              <a:schemeClr val="dk1">
                <a:tint val="75000"/>
              </a:schemeClr>
            </a:solidFill>
            <a:ln>
              <a:noFill/>
            </a:ln>
            <a:effectLst/>
          </c:spPr>
          <c:invertIfNegative val="0"/>
          <c:dPt>
            <c:idx val="0"/>
            <c:invertIfNegative val="0"/>
            <c:bubble3D val="0"/>
            <c:spPr>
              <a:solidFill>
                <a:schemeClr val="bg1">
                  <a:lumMod val="85000"/>
                </a:schemeClr>
              </a:solidFill>
              <a:ln>
                <a:noFill/>
              </a:ln>
              <a:effectLst/>
            </c:spPr>
            <c:extLst xmlns:c16r2="http://schemas.microsoft.com/office/drawing/2015/06/chart">
              <c:ext xmlns:c16="http://schemas.microsoft.com/office/drawing/2014/chart" uri="{C3380CC4-5D6E-409C-BE32-E72D297353CC}">
                <c16:uniqueId val="{00000003-25AE-4DEA-B3CA-EB257C9841ED}"/>
              </c:ext>
            </c:extLst>
          </c:dPt>
          <c:val>
            <c:numRef>
              <c:f>'3.6 Coomalie'!$G$16</c:f>
              <c:numCache>
                <c:formatCode>0%</c:formatCode>
                <c:ptCount val="1"/>
                <c:pt idx="0">
                  <c:v>0.13671875</c:v>
                </c:pt>
              </c:numCache>
            </c:numRef>
          </c:val>
          <c:extLst xmlns:c16r2="http://schemas.microsoft.com/office/drawing/2015/06/chart">
            <c:ext xmlns:c16="http://schemas.microsoft.com/office/drawing/2014/chart" uri="{C3380CC4-5D6E-409C-BE32-E72D297353CC}">
              <c16:uniqueId val="{00000004-25AE-4DEA-B3CA-EB257C9841ED}"/>
            </c:ext>
          </c:extLst>
        </c:ser>
        <c:ser>
          <c:idx val="3"/>
          <c:order val="3"/>
          <c:tx>
            <c:strRef>
              <c:f>'3.6 Coomalie'!$B$20</c:f>
              <c:strCache>
                <c:ptCount val="1"/>
                <c:pt idx="0">
                  <c:v>Overseas born - NMESC</c:v>
                </c:pt>
              </c:strCache>
            </c:strRef>
          </c:tx>
          <c:spPr>
            <a:solidFill>
              <a:schemeClr val="dk1">
                <a:tint val="98500"/>
              </a:schemeClr>
            </a:solidFill>
            <a:ln>
              <a:noFill/>
            </a:ln>
            <a:effectLst/>
          </c:spPr>
          <c:invertIfNegative val="0"/>
          <c:val>
            <c:numRef>
              <c:f>'3.6 Coomalie'!$G$20</c:f>
              <c:numCache>
                <c:formatCode>0%</c:formatCode>
                <c:ptCount val="1"/>
                <c:pt idx="0">
                  <c:v>0.25806451612903225</c:v>
                </c:pt>
              </c:numCache>
            </c:numRef>
          </c:val>
          <c:extLst xmlns:c16r2="http://schemas.microsoft.com/office/drawing/2015/06/chart">
            <c:ext xmlns:c16="http://schemas.microsoft.com/office/drawing/2014/chart" uri="{C3380CC4-5D6E-409C-BE32-E72D297353CC}">
              <c16:uniqueId val="{00000005-25AE-4DEA-B3CA-EB257C9841ED}"/>
            </c:ext>
          </c:extLst>
        </c:ser>
        <c:dLbls>
          <c:showLegendKey val="0"/>
          <c:showVal val="0"/>
          <c:showCatName val="0"/>
          <c:showSerName val="0"/>
          <c:showPercent val="0"/>
          <c:showBubbleSize val="0"/>
        </c:dLbls>
        <c:gapWidth val="182"/>
        <c:axId val="320093808"/>
        <c:axId val="320094200"/>
      </c:barChart>
      <c:catAx>
        <c:axId val="320093808"/>
        <c:scaling>
          <c:orientation val="minMax"/>
        </c:scaling>
        <c:delete val="1"/>
        <c:axPos val="l"/>
        <c:majorTickMark val="none"/>
        <c:minorTickMark val="none"/>
        <c:tickLblPos val="nextTo"/>
        <c:crossAx val="320094200"/>
        <c:crosses val="autoZero"/>
        <c:auto val="1"/>
        <c:lblAlgn val="ctr"/>
        <c:lblOffset val="100"/>
        <c:noMultiLvlLbl val="0"/>
      </c:catAx>
      <c:valAx>
        <c:axId val="32009420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320093808"/>
        <c:crosses val="autoZero"/>
        <c:crossBetween val="between"/>
      </c:valAx>
      <c:spPr>
        <a:noFill/>
        <a:ln>
          <a:noFill/>
        </a:ln>
        <a:effectLst/>
      </c:spPr>
    </c:plotArea>
    <c:legend>
      <c:legendPos val="b"/>
      <c:layout>
        <c:manualLayout>
          <c:xMode val="edge"/>
          <c:yMode val="edge"/>
          <c:x val="2.2460806900058351E-2"/>
          <c:y val="0.80329821131548018"/>
          <c:w val="0.97519465587619847"/>
          <c:h val="0.196701788684519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4.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5.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6.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7.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8.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9.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4.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5.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6.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7.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8.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9.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30.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5.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6.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7.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8.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9.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microsoft.com/office/2007/relationships/hdphoto" Target="../media/hdphoto1.wdp"/><Relationship Id="rId1" Type="http://schemas.openxmlformats.org/officeDocument/2006/relationships/image" Target="../media/image3.png"/><Relationship Id="rId4" Type="http://schemas.microsoft.com/office/2007/relationships/hdphoto" Target="../media/hdphoto2.wdp"/></Relationships>
</file>

<file path=xl/drawings/_rels/drawing20.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22.xml.rels><?xml version="1.0" encoding="UTF-8" standalone="yes"?>
<Relationships xmlns="http://schemas.openxmlformats.org/package/2006/relationships"><Relationship Id="rId8" Type="http://schemas.openxmlformats.org/officeDocument/2006/relationships/chart" Target="../charts/chart40.xml"/><Relationship Id="rId13" Type="http://schemas.openxmlformats.org/officeDocument/2006/relationships/chart" Target="../charts/chart45.xml"/><Relationship Id="rId18" Type="http://schemas.openxmlformats.org/officeDocument/2006/relationships/chart" Target="../charts/chart50.xml"/><Relationship Id="rId26" Type="http://schemas.openxmlformats.org/officeDocument/2006/relationships/chart" Target="../charts/chart58.xml"/><Relationship Id="rId3" Type="http://schemas.openxmlformats.org/officeDocument/2006/relationships/chart" Target="../charts/chart35.xml"/><Relationship Id="rId21" Type="http://schemas.openxmlformats.org/officeDocument/2006/relationships/chart" Target="../charts/chart53.xml"/><Relationship Id="rId34" Type="http://schemas.openxmlformats.org/officeDocument/2006/relationships/chart" Target="../charts/chart66.xml"/><Relationship Id="rId7" Type="http://schemas.openxmlformats.org/officeDocument/2006/relationships/chart" Target="../charts/chart39.xml"/><Relationship Id="rId12" Type="http://schemas.openxmlformats.org/officeDocument/2006/relationships/chart" Target="../charts/chart44.xml"/><Relationship Id="rId17" Type="http://schemas.openxmlformats.org/officeDocument/2006/relationships/chart" Target="../charts/chart49.xml"/><Relationship Id="rId25" Type="http://schemas.openxmlformats.org/officeDocument/2006/relationships/chart" Target="../charts/chart57.xml"/><Relationship Id="rId33" Type="http://schemas.openxmlformats.org/officeDocument/2006/relationships/chart" Target="../charts/chart65.xml"/><Relationship Id="rId2" Type="http://schemas.openxmlformats.org/officeDocument/2006/relationships/chart" Target="../charts/chart34.xml"/><Relationship Id="rId16" Type="http://schemas.openxmlformats.org/officeDocument/2006/relationships/chart" Target="../charts/chart48.xml"/><Relationship Id="rId20" Type="http://schemas.openxmlformats.org/officeDocument/2006/relationships/chart" Target="../charts/chart52.xml"/><Relationship Id="rId29" Type="http://schemas.openxmlformats.org/officeDocument/2006/relationships/chart" Target="../charts/chart61.xml"/><Relationship Id="rId1" Type="http://schemas.openxmlformats.org/officeDocument/2006/relationships/chart" Target="../charts/chart33.xml"/><Relationship Id="rId6" Type="http://schemas.openxmlformats.org/officeDocument/2006/relationships/chart" Target="../charts/chart38.xml"/><Relationship Id="rId11" Type="http://schemas.openxmlformats.org/officeDocument/2006/relationships/chart" Target="../charts/chart43.xml"/><Relationship Id="rId24" Type="http://schemas.openxmlformats.org/officeDocument/2006/relationships/chart" Target="../charts/chart56.xml"/><Relationship Id="rId32" Type="http://schemas.openxmlformats.org/officeDocument/2006/relationships/chart" Target="../charts/chart64.xml"/><Relationship Id="rId5" Type="http://schemas.openxmlformats.org/officeDocument/2006/relationships/chart" Target="../charts/chart37.xml"/><Relationship Id="rId15" Type="http://schemas.openxmlformats.org/officeDocument/2006/relationships/chart" Target="../charts/chart47.xml"/><Relationship Id="rId23" Type="http://schemas.openxmlformats.org/officeDocument/2006/relationships/chart" Target="../charts/chart55.xml"/><Relationship Id="rId28" Type="http://schemas.openxmlformats.org/officeDocument/2006/relationships/chart" Target="../charts/chart60.xml"/><Relationship Id="rId10" Type="http://schemas.openxmlformats.org/officeDocument/2006/relationships/chart" Target="../charts/chart42.xml"/><Relationship Id="rId19" Type="http://schemas.openxmlformats.org/officeDocument/2006/relationships/chart" Target="../charts/chart51.xml"/><Relationship Id="rId31" Type="http://schemas.openxmlformats.org/officeDocument/2006/relationships/chart" Target="../charts/chart63.xml"/><Relationship Id="rId4" Type="http://schemas.openxmlformats.org/officeDocument/2006/relationships/chart" Target="../charts/chart36.xml"/><Relationship Id="rId9" Type="http://schemas.openxmlformats.org/officeDocument/2006/relationships/chart" Target="../charts/chart41.xml"/><Relationship Id="rId14" Type="http://schemas.openxmlformats.org/officeDocument/2006/relationships/chart" Target="../charts/chart46.xml"/><Relationship Id="rId22" Type="http://schemas.openxmlformats.org/officeDocument/2006/relationships/chart" Target="../charts/chart54.xml"/><Relationship Id="rId27" Type="http://schemas.openxmlformats.org/officeDocument/2006/relationships/chart" Target="../charts/chart59.xml"/><Relationship Id="rId30" Type="http://schemas.openxmlformats.org/officeDocument/2006/relationships/chart" Target="../charts/chart62.xml"/></Relationships>
</file>

<file path=xl/drawings/_rels/drawing23.xml.rels><?xml version="1.0" encoding="UTF-8" standalone="yes"?>
<Relationships xmlns="http://schemas.openxmlformats.org/package/2006/relationships"><Relationship Id="rId8" Type="http://schemas.openxmlformats.org/officeDocument/2006/relationships/image" Target="../media/image16.png"/><Relationship Id="rId13" Type="http://schemas.openxmlformats.org/officeDocument/2006/relationships/image" Target="../media/image21.png"/><Relationship Id="rId3" Type="http://schemas.openxmlformats.org/officeDocument/2006/relationships/image" Target="../media/image11.png"/><Relationship Id="rId7" Type="http://schemas.openxmlformats.org/officeDocument/2006/relationships/image" Target="../media/image15.png"/><Relationship Id="rId12" Type="http://schemas.openxmlformats.org/officeDocument/2006/relationships/image" Target="../media/image20.png"/><Relationship Id="rId17" Type="http://schemas.openxmlformats.org/officeDocument/2006/relationships/image" Target="../media/image25.png"/><Relationship Id="rId2" Type="http://schemas.openxmlformats.org/officeDocument/2006/relationships/image" Target="../media/image10.png"/><Relationship Id="rId16" Type="http://schemas.openxmlformats.org/officeDocument/2006/relationships/image" Target="../media/image24.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5" Type="http://schemas.openxmlformats.org/officeDocument/2006/relationships/image" Target="../media/image13.png"/><Relationship Id="rId15" Type="http://schemas.openxmlformats.org/officeDocument/2006/relationships/image" Target="../media/image23.png"/><Relationship Id="rId10" Type="http://schemas.openxmlformats.org/officeDocument/2006/relationships/image" Target="../media/image18.png"/><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2</xdr:col>
      <xdr:colOff>631825</xdr:colOff>
      <xdr:row>1</xdr:row>
      <xdr:rowOff>66675</xdr:rowOff>
    </xdr:from>
    <xdr:to>
      <xdr:col>4</xdr:col>
      <xdr:colOff>4191000</xdr:colOff>
      <xdr:row>9</xdr:row>
      <xdr:rowOff>102117</xdr:rowOff>
    </xdr:to>
    <xdr:pic>
      <xdr:nvPicPr>
        <xdr:cNvPr id="2" name="Picture 1">
          <a:extLst>
            <a:ext uri="{FF2B5EF4-FFF2-40B4-BE49-F238E27FC236}">
              <a16:creationId xmlns:a16="http://schemas.microsoft.com/office/drawing/2014/main" xmlns="" id="{92F39551-9801-EC42-B1A9-5D976DBFE3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84925" y="333375"/>
          <a:ext cx="4978400" cy="1597542"/>
        </a:xfrm>
        <a:prstGeom prst="rect">
          <a:avLst/>
        </a:prstGeom>
      </xdr:spPr>
    </xdr:pic>
    <xdr:clientData/>
  </xdr:twoCellAnchor>
  <xdr:twoCellAnchor editAs="oneCell">
    <xdr:from>
      <xdr:col>4</xdr:col>
      <xdr:colOff>3563408</xdr:colOff>
      <xdr:row>1</xdr:row>
      <xdr:rowOff>187325</xdr:rowOff>
    </xdr:from>
    <xdr:to>
      <xdr:col>5</xdr:col>
      <xdr:colOff>273050</xdr:colOff>
      <xdr:row>5</xdr:row>
      <xdr:rowOff>139700</xdr:rowOff>
    </xdr:to>
    <xdr:pic>
      <xdr:nvPicPr>
        <xdr:cNvPr id="3" name="Picture 2">
          <a:extLst>
            <a:ext uri="{FF2B5EF4-FFF2-40B4-BE49-F238E27FC236}">
              <a16:creationId xmlns:a16="http://schemas.microsoft.com/office/drawing/2014/main" xmlns="" id="{E74FFCC3-020C-4549-A80F-CCA71E01DB5E}"/>
            </a:ext>
          </a:extLst>
        </xdr:cNvPr>
        <xdr:cNvPicPr>
          <a:picLocks noChangeAspect="1"/>
        </xdr:cNvPicPr>
      </xdr:nvPicPr>
      <xdr:blipFill>
        <a:blip xmlns:r="http://schemas.openxmlformats.org/officeDocument/2006/relationships" r:embed="rId2"/>
        <a:stretch>
          <a:fillRect/>
        </a:stretch>
      </xdr:blipFill>
      <xdr:spPr>
        <a:xfrm>
          <a:off x="11297708" y="454025"/>
          <a:ext cx="2310342" cy="7429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6</xdr:col>
      <xdr:colOff>0</xdr:colOff>
      <xdr:row>2</xdr:row>
      <xdr:rowOff>12699</xdr:rowOff>
    </xdr:from>
    <xdr:to>
      <xdr:col>10</xdr:col>
      <xdr:colOff>870672</xdr:colOff>
      <xdr:row>10</xdr:row>
      <xdr:rowOff>0</xdr:rowOff>
    </xdr:to>
    <xdr:graphicFrame macro="">
      <xdr:nvGraphicFramePr>
        <xdr:cNvPr id="2" name="Chart 1">
          <a:extLst>
            <a:ext uri="{FF2B5EF4-FFF2-40B4-BE49-F238E27FC236}">
              <a16:creationId xmlns:a16="http://schemas.microsoft.com/office/drawing/2014/main" xmlns="" id="{A5C4EF19-ABEB-4C81-B628-EB023C894A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16990</xdr:colOff>
      <xdr:row>2</xdr:row>
      <xdr:rowOff>9771</xdr:rowOff>
    </xdr:from>
    <xdr:to>
      <xdr:col>4</xdr:col>
      <xdr:colOff>0</xdr:colOff>
      <xdr:row>10</xdr:row>
      <xdr:rowOff>9769</xdr:rowOff>
    </xdr:to>
    <xdr:graphicFrame macro="">
      <xdr:nvGraphicFramePr>
        <xdr:cNvPr id="3" name="Chart 2">
          <a:extLst>
            <a:ext uri="{FF2B5EF4-FFF2-40B4-BE49-F238E27FC236}">
              <a16:creationId xmlns:a16="http://schemas.microsoft.com/office/drawing/2014/main" xmlns="" id="{8A853A31-330A-49C2-A877-835B876C7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12700</xdr:colOff>
      <xdr:row>2</xdr:row>
      <xdr:rowOff>12702</xdr:rowOff>
    </xdr:from>
    <xdr:to>
      <xdr:col>4</xdr:col>
      <xdr:colOff>7979</xdr:colOff>
      <xdr:row>9</xdr:row>
      <xdr:rowOff>165100</xdr:rowOff>
    </xdr:to>
    <xdr:pic>
      <xdr:nvPicPr>
        <xdr:cNvPr id="2" name="Picture 1">
          <a:extLst>
            <a:ext uri="{FF2B5EF4-FFF2-40B4-BE49-F238E27FC236}">
              <a16:creationId xmlns:a16="http://schemas.microsoft.com/office/drawing/2014/main" xmlns="" id="{25966D14-EAAE-9948-ADD3-A80E0AEC275F}"/>
            </a:ext>
          </a:extLst>
        </xdr:cNvPr>
        <xdr:cNvPicPr>
          <a:picLocks noChangeAspect="1"/>
        </xdr:cNvPicPr>
      </xdr:nvPicPr>
      <xdr:blipFill>
        <a:blip xmlns:r="http://schemas.openxmlformats.org/officeDocument/2006/relationships" r:embed="rId1"/>
        <a:stretch>
          <a:fillRect/>
        </a:stretch>
      </xdr:blipFill>
      <xdr:spPr>
        <a:xfrm>
          <a:off x="457200" y="635002"/>
          <a:ext cx="4757779" cy="1574798"/>
        </a:xfrm>
        <a:prstGeom prst="rect">
          <a:avLst/>
        </a:prstGeom>
      </xdr:spPr>
    </xdr:pic>
    <xdr:clientData/>
  </xdr:twoCellAnchor>
  <xdr:twoCellAnchor editAs="oneCell">
    <xdr:from>
      <xdr:col>6</xdr:col>
      <xdr:colOff>1952</xdr:colOff>
      <xdr:row>2</xdr:row>
      <xdr:rowOff>0</xdr:rowOff>
    </xdr:from>
    <xdr:to>
      <xdr:col>11</xdr:col>
      <xdr:colOff>0</xdr:colOff>
      <xdr:row>10</xdr:row>
      <xdr:rowOff>25400</xdr:rowOff>
    </xdr:to>
    <xdr:pic>
      <xdr:nvPicPr>
        <xdr:cNvPr id="3" name="Picture 2">
          <a:extLst>
            <a:ext uri="{FF2B5EF4-FFF2-40B4-BE49-F238E27FC236}">
              <a16:creationId xmlns:a16="http://schemas.microsoft.com/office/drawing/2014/main" xmlns="" id="{DA4E4DA2-95A7-474F-BA1C-CCA6BFF7A523}"/>
            </a:ext>
          </a:extLst>
        </xdr:cNvPr>
        <xdr:cNvPicPr>
          <a:picLocks noChangeAspect="1"/>
        </xdr:cNvPicPr>
      </xdr:nvPicPr>
      <xdr:blipFill>
        <a:blip xmlns:r="http://schemas.openxmlformats.org/officeDocument/2006/relationships" r:embed="rId2"/>
        <a:stretch>
          <a:fillRect/>
        </a:stretch>
      </xdr:blipFill>
      <xdr:spPr>
        <a:xfrm>
          <a:off x="6859952" y="622300"/>
          <a:ext cx="4125548" cy="1651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2</xdr:row>
      <xdr:rowOff>12700</xdr:rowOff>
    </xdr:from>
    <xdr:to>
      <xdr:col>10</xdr:col>
      <xdr:colOff>870671</xdr:colOff>
      <xdr:row>10</xdr:row>
      <xdr:rowOff>25399</xdr:rowOff>
    </xdr:to>
    <xdr:graphicFrame macro="">
      <xdr:nvGraphicFramePr>
        <xdr:cNvPr id="2" name="Chart 1">
          <a:extLst>
            <a:ext uri="{FF2B5EF4-FFF2-40B4-BE49-F238E27FC236}">
              <a16:creationId xmlns:a16="http://schemas.microsoft.com/office/drawing/2014/main" xmlns="" id="{49053270-EBC5-4453-A409-DAF25F3DBC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36528</xdr:colOff>
      <xdr:row>2</xdr:row>
      <xdr:rowOff>2</xdr:rowOff>
    </xdr:from>
    <xdr:to>
      <xdr:col>4</xdr:col>
      <xdr:colOff>10583</xdr:colOff>
      <xdr:row>10</xdr:row>
      <xdr:rowOff>10582</xdr:rowOff>
    </xdr:to>
    <xdr:graphicFrame macro="">
      <xdr:nvGraphicFramePr>
        <xdr:cNvPr id="3" name="Chart 2">
          <a:extLst>
            <a:ext uri="{FF2B5EF4-FFF2-40B4-BE49-F238E27FC236}">
              <a16:creationId xmlns:a16="http://schemas.microsoft.com/office/drawing/2014/main" xmlns="" id="{D852E149-5F20-43BB-B4A4-4BFD45C4C0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825499</xdr:colOff>
      <xdr:row>2</xdr:row>
      <xdr:rowOff>28575</xdr:rowOff>
    </xdr:from>
    <xdr:to>
      <xdr:col>11</xdr:col>
      <xdr:colOff>0</xdr:colOff>
      <xdr:row>10</xdr:row>
      <xdr:rowOff>25400</xdr:rowOff>
    </xdr:to>
    <xdr:graphicFrame macro="">
      <xdr:nvGraphicFramePr>
        <xdr:cNvPr id="2" name="Chart 1">
          <a:extLst>
            <a:ext uri="{FF2B5EF4-FFF2-40B4-BE49-F238E27FC236}">
              <a16:creationId xmlns:a16="http://schemas.microsoft.com/office/drawing/2014/main" xmlns="" id="{65AC7187-1C3B-7A46-98F3-37141FE05F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393700</xdr:colOff>
      <xdr:row>2</xdr:row>
      <xdr:rowOff>12700</xdr:rowOff>
    </xdr:from>
    <xdr:to>
      <xdr:col>3</xdr:col>
      <xdr:colOff>25400</xdr:colOff>
      <xdr:row>10</xdr:row>
      <xdr:rowOff>0</xdr:rowOff>
    </xdr:to>
    <xdr:graphicFrame macro="">
      <xdr:nvGraphicFramePr>
        <xdr:cNvPr id="3" name="Chart 2">
          <a:extLst>
            <a:ext uri="{FF2B5EF4-FFF2-40B4-BE49-F238E27FC236}">
              <a16:creationId xmlns:a16="http://schemas.microsoft.com/office/drawing/2014/main" xmlns="" id="{15DB2ED2-1C85-4844-836E-2DB7B9C95E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12701</xdr:colOff>
      <xdr:row>2</xdr:row>
      <xdr:rowOff>12701</xdr:rowOff>
    </xdr:from>
    <xdr:to>
      <xdr:col>10</xdr:col>
      <xdr:colOff>870673</xdr:colOff>
      <xdr:row>10</xdr:row>
      <xdr:rowOff>12701</xdr:rowOff>
    </xdr:to>
    <xdr:graphicFrame macro="">
      <xdr:nvGraphicFramePr>
        <xdr:cNvPr id="2" name="Chart 1">
          <a:extLst>
            <a:ext uri="{FF2B5EF4-FFF2-40B4-BE49-F238E27FC236}">
              <a16:creationId xmlns:a16="http://schemas.microsoft.com/office/drawing/2014/main" xmlns="" id="{F07F6401-DF5E-4452-8F69-59E1D9194C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11128</xdr:colOff>
      <xdr:row>2</xdr:row>
      <xdr:rowOff>12702</xdr:rowOff>
    </xdr:from>
    <xdr:to>
      <xdr:col>4</xdr:col>
      <xdr:colOff>0</xdr:colOff>
      <xdr:row>10</xdr:row>
      <xdr:rowOff>38099</xdr:rowOff>
    </xdr:to>
    <xdr:graphicFrame macro="">
      <xdr:nvGraphicFramePr>
        <xdr:cNvPr id="3" name="Chart 2">
          <a:extLst>
            <a:ext uri="{FF2B5EF4-FFF2-40B4-BE49-F238E27FC236}">
              <a16:creationId xmlns:a16="http://schemas.microsoft.com/office/drawing/2014/main" xmlns="" id="{43161C0E-4B0B-4ACD-AD1A-360C870BE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1195916</xdr:colOff>
      <xdr:row>2</xdr:row>
      <xdr:rowOff>12700</xdr:rowOff>
    </xdr:from>
    <xdr:to>
      <xdr:col>10</xdr:col>
      <xdr:colOff>857971</xdr:colOff>
      <xdr:row>10</xdr:row>
      <xdr:rowOff>21167</xdr:rowOff>
    </xdr:to>
    <xdr:graphicFrame macro="">
      <xdr:nvGraphicFramePr>
        <xdr:cNvPr id="2" name="Chart 1">
          <a:extLst>
            <a:ext uri="{FF2B5EF4-FFF2-40B4-BE49-F238E27FC236}">
              <a16:creationId xmlns:a16="http://schemas.microsoft.com/office/drawing/2014/main" xmlns="" id="{9E458E93-9DB3-40C0-9884-ECF485827D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36528</xdr:colOff>
      <xdr:row>2</xdr:row>
      <xdr:rowOff>3</xdr:rowOff>
    </xdr:from>
    <xdr:to>
      <xdr:col>4</xdr:col>
      <xdr:colOff>31749</xdr:colOff>
      <xdr:row>10</xdr:row>
      <xdr:rowOff>21168</xdr:rowOff>
    </xdr:to>
    <xdr:graphicFrame macro="">
      <xdr:nvGraphicFramePr>
        <xdr:cNvPr id="3" name="Chart 2">
          <a:extLst>
            <a:ext uri="{FF2B5EF4-FFF2-40B4-BE49-F238E27FC236}">
              <a16:creationId xmlns:a16="http://schemas.microsoft.com/office/drawing/2014/main" xmlns="" id="{3F83B7F8-F9B5-4FFD-B063-D71625899D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815975</xdr:colOff>
      <xdr:row>2</xdr:row>
      <xdr:rowOff>50799</xdr:rowOff>
    </xdr:from>
    <xdr:to>
      <xdr:col>10</xdr:col>
      <xdr:colOff>819149</xdr:colOff>
      <xdr:row>10</xdr:row>
      <xdr:rowOff>85725</xdr:rowOff>
    </xdr:to>
    <xdr:graphicFrame macro="">
      <xdr:nvGraphicFramePr>
        <xdr:cNvPr id="2" name="Chart 1">
          <a:extLst>
            <a:ext uri="{FF2B5EF4-FFF2-40B4-BE49-F238E27FC236}">
              <a16:creationId xmlns:a16="http://schemas.microsoft.com/office/drawing/2014/main" xmlns="" id="{C3972A72-FFDE-4951-ABB4-65B140E4F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xdr:row>
      <xdr:rowOff>38103</xdr:rowOff>
    </xdr:from>
    <xdr:to>
      <xdr:col>4</xdr:col>
      <xdr:colOff>3175</xdr:colOff>
      <xdr:row>10</xdr:row>
      <xdr:rowOff>63500</xdr:rowOff>
    </xdr:to>
    <xdr:graphicFrame macro="">
      <xdr:nvGraphicFramePr>
        <xdr:cNvPr id="3" name="Chart 2">
          <a:extLst>
            <a:ext uri="{FF2B5EF4-FFF2-40B4-BE49-F238E27FC236}">
              <a16:creationId xmlns:a16="http://schemas.microsoft.com/office/drawing/2014/main" xmlns="" id="{52D4D9F4-9796-4446-BFF6-34D9EB7105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6</xdr:col>
      <xdr:colOff>1</xdr:colOff>
      <xdr:row>2</xdr:row>
      <xdr:rowOff>12700</xdr:rowOff>
    </xdr:from>
    <xdr:to>
      <xdr:col>10</xdr:col>
      <xdr:colOff>870673</xdr:colOff>
      <xdr:row>10</xdr:row>
      <xdr:rowOff>12700</xdr:rowOff>
    </xdr:to>
    <xdr:graphicFrame macro="">
      <xdr:nvGraphicFramePr>
        <xdr:cNvPr id="2" name="Chart 1">
          <a:extLst>
            <a:ext uri="{FF2B5EF4-FFF2-40B4-BE49-F238E27FC236}">
              <a16:creationId xmlns:a16="http://schemas.microsoft.com/office/drawing/2014/main" xmlns="" id="{A5544DB8-DE2E-42A9-B0F7-CF614E01EE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xdr:row>
      <xdr:rowOff>12703</xdr:rowOff>
    </xdr:from>
    <xdr:to>
      <xdr:col>4</xdr:col>
      <xdr:colOff>25400</xdr:colOff>
      <xdr:row>10</xdr:row>
      <xdr:rowOff>12701</xdr:rowOff>
    </xdr:to>
    <xdr:graphicFrame macro="">
      <xdr:nvGraphicFramePr>
        <xdr:cNvPr id="3" name="Chart 2">
          <a:extLst>
            <a:ext uri="{FF2B5EF4-FFF2-40B4-BE49-F238E27FC236}">
              <a16:creationId xmlns:a16="http://schemas.microsoft.com/office/drawing/2014/main" xmlns="" id="{78419E78-5263-43A3-A73C-A5F5F9086D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2</xdr:row>
      <xdr:rowOff>12699</xdr:rowOff>
    </xdr:from>
    <xdr:to>
      <xdr:col>10</xdr:col>
      <xdr:colOff>857972</xdr:colOff>
      <xdr:row>10</xdr:row>
      <xdr:rowOff>12700</xdr:rowOff>
    </xdr:to>
    <xdr:graphicFrame macro="">
      <xdr:nvGraphicFramePr>
        <xdr:cNvPr id="2" name="Chart 1">
          <a:extLst>
            <a:ext uri="{FF2B5EF4-FFF2-40B4-BE49-F238E27FC236}">
              <a16:creationId xmlns:a16="http://schemas.microsoft.com/office/drawing/2014/main" xmlns="" id="{E35D5B2C-3BF6-4615-82B8-73D708CC10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23828</xdr:colOff>
      <xdr:row>2</xdr:row>
      <xdr:rowOff>2</xdr:rowOff>
    </xdr:from>
    <xdr:to>
      <xdr:col>4</xdr:col>
      <xdr:colOff>8467</xdr:colOff>
      <xdr:row>10</xdr:row>
      <xdr:rowOff>21167</xdr:rowOff>
    </xdr:to>
    <xdr:graphicFrame macro="">
      <xdr:nvGraphicFramePr>
        <xdr:cNvPr id="3" name="Chart 2">
          <a:extLst>
            <a:ext uri="{FF2B5EF4-FFF2-40B4-BE49-F238E27FC236}">
              <a16:creationId xmlns:a16="http://schemas.microsoft.com/office/drawing/2014/main" xmlns="" id="{38524F12-D848-4C74-B061-A48AA1E304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6</xdr:col>
      <xdr:colOff>12700</xdr:colOff>
      <xdr:row>2</xdr:row>
      <xdr:rowOff>12699</xdr:rowOff>
    </xdr:from>
    <xdr:to>
      <xdr:col>10</xdr:col>
      <xdr:colOff>870672</xdr:colOff>
      <xdr:row>9</xdr:row>
      <xdr:rowOff>201082</xdr:rowOff>
    </xdr:to>
    <xdr:graphicFrame macro="">
      <xdr:nvGraphicFramePr>
        <xdr:cNvPr id="2" name="Chart 1">
          <a:extLst>
            <a:ext uri="{FF2B5EF4-FFF2-40B4-BE49-F238E27FC236}">
              <a16:creationId xmlns:a16="http://schemas.microsoft.com/office/drawing/2014/main" xmlns="" id="{01D9A0DD-51BE-45D9-BB55-79FF8A9187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11127</xdr:colOff>
      <xdr:row>2</xdr:row>
      <xdr:rowOff>12702</xdr:rowOff>
    </xdr:from>
    <xdr:to>
      <xdr:col>4</xdr:col>
      <xdr:colOff>0</xdr:colOff>
      <xdr:row>10</xdr:row>
      <xdr:rowOff>12700</xdr:rowOff>
    </xdr:to>
    <xdr:graphicFrame macro="">
      <xdr:nvGraphicFramePr>
        <xdr:cNvPr id="3" name="Chart 2">
          <a:extLst>
            <a:ext uri="{FF2B5EF4-FFF2-40B4-BE49-F238E27FC236}">
              <a16:creationId xmlns:a16="http://schemas.microsoft.com/office/drawing/2014/main" xmlns="" id="{3E4E5D1E-6CBE-49CF-9C81-31AAB0F154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3174</xdr:colOff>
      <xdr:row>2</xdr:row>
      <xdr:rowOff>34925</xdr:rowOff>
    </xdr:from>
    <xdr:to>
      <xdr:col>4</xdr:col>
      <xdr:colOff>825499</xdr:colOff>
      <xdr:row>9</xdr:row>
      <xdr:rowOff>95307</xdr:rowOff>
    </xdr:to>
    <xdr:pic>
      <xdr:nvPicPr>
        <xdr:cNvPr id="2" name="Picture 1">
          <a:extLst>
            <a:ext uri="{FF2B5EF4-FFF2-40B4-BE49-F238E27FC236}">
              <a16:creationId xmlns:a16="http://schemas.microsoft.com/office/drawing/2014/main" xmlns="" id="{388C4D35-F23B-6A48-A73C-9FB5BBCFBC03}"/>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0"/>
                  </a14:imgEffect>
                </a14:imgLayer>
              </a14:imgProps>
            </a:ext>
          </a:extLst>
        </a:blip>
        <a:stretch>
          <a:fillRect/>
        </a:stretch>
      </xdr:blipFill>
      <xdr:spPr>
        <a:xfrm>
          <a:off x="498474" y="682625"/>
          <a:ext cx="5597525" cy="1304982"/>
        </a:xfrm>
        <a:prstGeom prst="rect">
          <a:avLst/>
        </a:prstGeom>
      </xdr:spPr>
    </xdr:pic>
    <xdr:clientData/>
  </xdr:twoCellAnchor>
  <xdr:twoCellAnchor editAs="oneCell">
    <xdr:from>
      <xdr:col>6</xdr:col>
      <xdr:colOff>68008</xdr:colOff>
      <xdr:row>2</xdr:row>
      <xdr:rowOff>60325</xdr:rowOff>
    </xdr:from>
    <xdr:to>
      <xdr:col>11</xdr:col>
      <xdr:colOff>64923</xdr:colOff>
      <xdr:row>10</xdr:row>
      <xdr:rowOff>63501</xdr:rowOff>
    </xdr:to>
    <xdr:pic>
      <xdr:nvPicPr>
        <xdr:cNvPr id="3" name="Picture 2">
          <a:extLst>
            <a:ext uri="{FF2B5EF4-FFF2-40B4-BE49-F238E27FC236}">
              <a16:creationId xmlns:a16="http://schemas.microsoft.com/office/drawing/2014/main" xmlns="" id="{17B5F391-0FFB-BB41-93C8-90C768A6D025}"/>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saturation sat="0"/>
                  </a14:imgEffect>
                </a14:imgLayer>
              </a14:imgProps>
            </a:ext>
          </a:extLst>
        </a:blip>
        <a:stretch>
          <a:fillRect/>
        </a:stretch>
      </xdr:blipFill>
      <xdr:spPr>
        <a:xfrm>
          <a:off x="6989508" y="669925"/>
          <a:ext cx="4175215" cy="142557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133350</xdr:colOff>
      <xdr:row>3</xdr:row>
      <xdr:rowOff>61910</xdr:rowOff>
    </xdr:from>
    <xdr:to>
      <xdr:col>11</xdr:col>
      <xdr:colOff>257175</xdr:colOff>
      <xdr:row>23</xdr:row>
      <xdr:rowOff>38099</xdr:rowOff>
    </xdr:to>
    <xdr:graphicFrame macro="">
      <xdr:nvGraphicFramePr>
        <xdr:cNvPr id="2" name="Chart 1">
          <a:extLst>
            <a:ext uri="{FF2B5EF4-FFF2-40B4-BE49-F238E27FC236}">
              <a16:creationId xmlns:a16="http://schemas.microsoft.com/office/drawing/2014/main" xmlns="" id="{6A725B03-7929-A74D-AF4C-DE5FB26F5F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190499</xdr:colOff>
      <xdr:row>3</xdr:row>
      <xdr:rowOff>118382</xdr:rowOff>
    </xdr:from>
    <xdr:to>
      <xdr:col>11</xdr:col>
      <xdr:colOff>108856</xdr:colOff>
      <xdr:row>23</xdr:row>
      <xdr:rowOff>149678</xdr:rowOff>
    </xdr:to>
    <xdr:graphicFrame macro="">
      <xdr:nvGraphicFramePr>
        <xdr:cNvPr id="2" name="Chart 1">
          <a:extLst>
            <a:ext uri="{FF2B5EF4-FFF2-40B4-BE49-F238E27FC236}">
              <a16:creationId xmlns:a16="http://schemas.microsoft.com/office/drawing/2014/main" xmlns="" id="{3CB1A0EE-AA72-1841-BD12-460B3AED89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111</xdr:row>
      <xdr:rowOff>16824</xdr:rowOff>
    </xdr:from>
    <xdr:to>
      <xdr:col>7</xdr:col>
      <xdr:colOff>482485</xdr:colOff>
      <xdr:row>128</xdr:row>
      <xdr:rowOff>31113</xdr:rowOff>
    </xdr:to>
    <xdr:graphicFrame macro="">
      <xdr:nvGraphicFramePr>
        <xdr:cNvPr id="2" name="Chart 1">
          <a:extLst>
            <a:ext uri="{FF2B5EF4-FFF2-40B4-BE49-F238E27FC236}">
              <a16:creationId xmlns:a16="http://schemas.microsoft.com/office/drawing/2014/main" xmlns="" id="{ED52E225-67C3-C344-9366-DF3D3BC109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578427</xdr:colOff>
      <xdr:row>111</xdr:row>
      <xdr:rowOff>16824</xdr:rowOff>
    </xdr:from>
    <xdr:to>
      <xdr:col>16</xdr:col>
      <xdr:colOff>451312</xdr:colOff>
      <xdr:row>128</xdr:row>
      <xdr:rowOff>31113</xdr:rowOff>
    </xdr:to>
    <xdr:graphicFrame macro="">
      <xdr:nvGraphicFramePr>
        <xdr:cNvPr id="3" name="Chart 2">
          <a:extLst>
            <a:ext uri="{FF2B5EF4-FFF2-40B4-BE49-F238E27FC236}">
              <a16:creationId xmlns:a16="http://schemas.microsoft.com/office/drawing/2014/main" xmlns="" id="{1A04110E-846C-134F-8CA2-BE9697771D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547255</xdr:colOff>
      <xdr:row>111</xdr:row>
      <xdr:rowOff>0</xdr:rowOff>
    </xdr:from>
    <xdr:to>
      <xdr:col>25</xdr:col>
      <xdr:colOff>420139</xdr:colOff>
      <xdr:row>128</xdr:row>
      <xdr:rowOff>20227</xdr:rowOff>
    </xdr:to>
    <xdr:graphicFrame macro="">
      <xdr:nvGraphicFramePr>
        <xdr:cNvPr id="4" name="Chart 3">
          <a:extLst>
            <a:ext uri="{FF2B5EF4-FFF2-40B4-BE49-F238E27FC236}">
              <a16:creationId xmlns:a16="http://schemas.microsoft.com/office/drawing/2014/main" xmlns="" id="{EBAC5496-A975-3945-B1B3-A21A6D7D0C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26</xdr:col>
      <xdr:colOff>516082</xdr:colOff>
      <xdr:row>111</xdr:row>
      <xdr:rowOff>23450</xdr:rowOff>
    </xdr:from>
    <xdr:to>
      <xdr:col>34</xdr:col>
      <xdr:colOff>388966</xdr:colOff>
      <xdr:row>128</xdr:row>
      <xdr:rowOff>37739</xdr:rowOff>
    </xdr:to>
    <xdr:graphicFrame macro="">
      <xdr:nvGraphicFramePr>
        <xdr:cNvPr id="5" name="Chart 4">
          <a:extLst>
            <a:ext uri="{FF2B5EF4-FFF2-40B4-BE49-F238E27FC236}">
              <a16:creationId xmlns:a16="http://schemas.microsoft.com/office/drawing/2014/main" xmlns="" id="{2BB1ADE5-F655-E04D-980C-8F880B3D7E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132</xdr:row>
      <xdr:rowOff>16824</xdr:rowOff>
    </xdr:from>
    <xdr:to>
      <xdr:col>7</xdr:col>
      <xdr:colOff>482485</xdr:colOff>
      <xdr:row>149</xdr:row>
      <xdr:rowOff>31113</xdr:rowOff>
    </xdr:to>
    <xdr:graphicFrame macro="">
      <xdr:nvGraphicFramePr>
        <xdr:cNvPr id="6" name="Chart 5">
          <a:extLst>
            <a:ext uri="{FF2B5EF4-FFF2-40B4-BE49-F238E27FC236}">
              <a16:creationId xmlns:a16="http://schemas.microsoft.com/office/drawing/2014/main" xmlns="" id="{7E9133E6-7352-3546-86ED-763007679C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578427</xdr:colOff>
      <xdr:row>132</xdr:row>
      <xdr:rowOff>16824</xdr:rowOff>
    </xdr:from>
    <xdr:to>
      <xdr:col>16</xdr:col>
      <xdr:colOff>451312</xdr:colOff>
      <xdr:row>149</xdr:row>
      <xdr:rowOff>31113</xdr:rowOff>
    </xdr:to>
    <xdr:graphicFrame macro="">
      <xdr:nvGraphicFramePr>
        <xdr:cNvPr id="7" name="Chart 6">
          <a:extLst>
            <a:ext uri="{FF2B5EF4-FFF2-40B4-BE49-F238E27FC236}">
              <a16:creationId xmlns:a16="http://schemas.microsoft.com/office/drawing/2014/main" xmlns="" id="{7330D79A-DF87-7245-94F0-15ADD4E8B5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547255</xdr:colOff>
      <xdr:row>132</xdr:row>
      <xdr:rowOff>0</xdr:rowOff>
    </xdr:from>
    <xdr:to>
      <xdr:col>25</xdr:col>
      <xdr:colOff>420139</xdr:colOff>
      <xdr:row>149</xdr:row>
      <xdr:rowOff>20227</xdr:rowOff>
    </xdr:to>
    <xdr:graphicFrame macro="">
      <xdr:nvGraphicFramePr>
        <xdr:cNvPr id="8" name="Chart 7">
          <a:extLst>
            <a:ext uri="{FF2B5EF4-FFF2-40B4-BE49-F238E27FC236}">
              <a16:creationId xmlns:a16="http://schemas.microsoft.com/office/drawing/2014/main" xmlns="" id="{0C67026C-AB9F-734B-BC08-7BA1F03C50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26</xdr:col>
      <xdr:colOff>516082</xdr:colOff>
      <xdr:row>132</xdr:row>
      <xdr:rowOff>23450</xdr:rowOff>
    </xdr:from>
    <xdr:to>
      <xdr:col>34</xdr:col>
      <xdr:colOff>388966</xdr:colOff>
      <xdr:row>149</xdr:row>
      <xdr:rowOff>37739</xdr:rowOff>
    </xdr:to>
    <xdr:graphicFrame macro="">
      <xdr:nvGraphicFramePr>
        <xdr:cNvPr id="9" name="Chart 8">
          <a:extLst>
            <a:ext uri="{FF2B5EF4-FFF2-40B4-BE49-F238E27FC236}">
              <a16:creationId xmlns:a16="http://schemas.microsoft.com/office/drawing/2014/main" xmlns="" id="{DB2F5108-EFD3-E345-B10E-921338851C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153</xdr:row>
      <xdr:rowOff>16824</xdr:rowOff>
    </xdr:from>
    <xdr:to>
      <xdr:col>7</xdr:col>
      <xdr:colOff>482485</xdr:colOff>
      <xdr:row>170</xdr:row>
      <xdr:rowOff>31113</xdr:rowOff>
    </xdr:to>
    <xdr:graphicFrame macro="">
      <xdr:nvGraphicFramePr>
        <xdr:cNvPr id="10" name="Chart 9">
          <a:extLst>
            <a:ext uri="{FF2B5EF4-FFF2-40B4-BE49-F238E27FC236}">
              <a16:creationId xmlns:a16="http://schemas.microsoft.com/office/drawing/2014/main" xmlns="" id="{402A4C6D-7BB7-7041-B233-A1DF182305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578427</xdr:colOff>
      <xdr:row>153</xdr:row>
      <xdr:rowOff>16824</xdr:rowOff>
    </xdr:from>
    <xdr:to>
      <xdr:col>16</xdr:col>
      <xdr:colOff>451312</xdr:colOff>
      <xdr:row>170</xdr:row>
      <xdr:rowOff>31113</xdr:rowOff>
    </xdr:to>
    <xdr:graphicFrame macro="">
      <xdr:nvGraphicFramePr>
        <xdr:cNvPr id="11" name="Chart 10">
          <a:extLst>
            <a:ext uri="{FF2B5EF4-FFF2-40B4-BE49-F238E27FC236}">
              <a16:creationId xmlns:a16="http://schemas.microsoft.com/office/drawing/2014/main" xmlns="" id="{616D4F6E-237D-2546-9A65-11F833107C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547255</xdr:colOff>
      <xdr:row>153</xdr:row>
      <xdr:rowOff>0</xdr:rowOff>
    </xdr:from>
    <xdr:to>
      <xdr:col>25</xdr:col>
      <xdr:colOff>420139</xdr:colOff>
      <xdr:row>170</xdr:row>
      <xdr:rowOff>20227</xdr:rowOff>
    </xdr:to>
    <xdr:graphicFrame macro="">
      <xdr:nvGraphicFramePr>
        <xdr:cNvPr id="12" name="Chart 11">
          <a:extLst>
            <a:ext uri="{FF2B5EF4-FFF2-40B4-BE49-F238E27FC236}">
              <a16:creationId xmlns:a16="http://schemas.microsoft.com/office/drawing/2014/main" xmlns="" id="{020DE31F-BCD3-C24F-A9C9-E3E1AE8069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26</xdr:col>
      <xdr:colOff>516082</xdr:colOff>
      <xdr:row>153</xdr:row>
      <xdr:rowOff>23450</xdr:rowOff>
    </xdr:from>
    <xdr:to>
      <xdr:col>34</xdr:col>
      <xdr:colOff>388966</xdr:colOff>
      <xdr:row>170</xdr:row>
      <xdr:rowOff>37739</xdr:rowOff>
    </xdr:to>
    <xdr:graphicFrame macro="">
      <xdr:nvGraphicFramePr>
        <xdr:cNvPr id="13" name="Chart 12">
          <a:extLst>
            <a:ext uri="{FF2B5EF4-FFF2-40B4-BE49-F238E27FC236}">
              <a16:creationId xmlns:a16="http://schemas.microsoft.com/office/drawing/2014/main" xmlns="" id="{0B815407-A285-DF41-8295-6009C07230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174</xdr:row>
      <xdr:rowOff>0</xdr:rowOff>
    </xdr:from>
    <xdr:to>
      <xdr:col>7</xdr:col>
      <xdr:colOff>482485</xdr:colOff>
      <xdr:row>191</xdr:row>
      <xdr:rowOff>20227</xdr:rowOff>
    </xdr:to>
    <xdr:graphicFrame macro="">
      <xdr:nvGraphicFramePr>
        <xdr:cNvPr id="14" name="Chart 13">
          <a:extLst>
            <a:ext uri="{FF2B5EF4-FFF2-40B4-BE49-F238E27FC236}">
              <a16:creationId xmlns:a16="http://schemas.microsoft.com/office/drawing/2014/main" xmlns="" id="{F8B4AC21-EC2F-CD4C-88D0-45D969BD25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578427</xdr:colOff>
      <xdr:row>174</xdr:row>
      <xdr:rowOff>23450</xdr:rowOff>
    </xdr:from>
    <xdr:to>
      <xdr:col>16</xdr:col>
      <xdr:colOff>451312</xdr:colOff>
      <xdr:row>191</xdr:row>
      <xdr:rowOff>37739</xdr:rowOff>
    </xdr:to>
    <xdr:graphicFrame macro="">
      <xdr:nvGraphicFramePr>
        <xdr:cNvPr id="15" name="Chart 14">
          <a:extLst>
            <a:ext uri="{FF2B5EF4-FFF2-40B4-BE49-F238E27FC236}">
              <a16:creationId xmlns:a16="http://schemas.microsoft.com/office/drawing/2014/main" xmlns="" id="{0BC62CC4-A1F4-144F-B5CA-9730BFA98B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6</xdr:row>
      <xdr:rowOff>23898</xdr:rowOff>
    </xdr:from>
    <xdr:to>
      <xdr:col>7</xdr:col>
      <xdr:colOff>482485</xdr:colOff>
      <xdr:row>23</xdr:row>
      <xdr:rowOff>38186</xdr:rowOff>
    </xdr:to>
    <xdr:graphicFrame macro="">
      <xdr:nvGraphicFramePr>
        <xdr:cNvPr id="16" name="Chart 15">
          <a:extLst>
            <a:ext uri="{FF2B5EF4-FFF2-40B4-BE49-F238E27FC236}">
              <a16:creationId xmlns:a16="http://schemas.microsoft.com/office/drawing/2014/main" xmlns="" id="{96373ACA-FAAD-6040-9C6A-85B95D6213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8</xdr:col>
      <xdr:colOff>540327</xdr:colOff>
      <xdr:row>6</xdr:row>
      <xdr:rowOff>1038</xdr:rowOff>
    </xdr:from>
    <xdr:to>
      <xdr:col>16</xdr:col>
      <xdr:colOff>413212</xdr:colOff>
      <xdr:row>23</xdr:row>
      <xdr:rowOff>15326</xdr:rowOff>
    </xdr:to>
    <xdr:graphicFrame macro="">
      <xdr:nvGraphicFramePr>
        <xdr:cNvPr id="17" name="Chart 16">
          <a:extLst>
            <a:ext uri="{FF2B5EF4-FFF2-40B4-BE49-F238E27FC236}">
              <a16:creationId xmlns:a16="http://schemas.microsoft.com/office/drawing/2014/main" xmlns="" id="{0130C7E4-6708-164C-BACE-F859844E20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17</xdr:col>
      <xdr:colOff>527859</xdr:colOff>
      <xdr:row>6</xdr:row>
      <xdr:rowOff>0</xdr:rowOff>
    </xdr:from>
    <xdr:to>
      <xdr:col>25</xdr:col>
      <xdr:colOff>400743</xdr:colOff>
      <xdr:row>23</xdr:row>
      <xdr:rowOff>13941</xdr:rowOff>
    </xdr:to>
    <xdr:graphicFrame macro="">
      <xdr:nvGraphicFramePr>
        <xdr:cNvPr id="18" name="Chart 17">
          <a:extLst>
            <a:ext uri="{FF2B5EF4-FFF2-40B4-BE49-F238E27FC236}">
              <a16:creationId xmlns:a16="http://schemas.microsoft.com/office/drawing/2014/main" xmlns="" id="{E26623C6-1286-4643-B14D-4B28A83791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26</xdr:col>
      <xdr:colOff>477982</xdr:colOff>
      <xdr:row>6</xdr:row>
      <xdr:rowOff>4848</xdr:rowOff>
    </xdr:from>
    <xdr:to>
      <xdr:col>34</xdr:col>
      <xdr:colOff>350866</xdr:colOff>
      <xdr:row>23</xdr:row>
      <xdr:rowOff>19136</xdr:rowOff>
    </xdr:to>
    <xdr:graphicFrame macro="">
      <xdr:nvGraphicFramePr>
        <xdr:cNvPr id="19" name="Chart 18">
          <a:extLst>
            <a:ext uri="{FF2B5EF4-FFF2-40B4-BE49-F238E27FC236}">
              <a16:creationId xmlns:a16="http://schemas.microsoft.com/office/drawing/2014/main" xmlns="" id="{576FCD5A-95CF-9240-8540-D0749A6241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27</xdr:row>
      <xdr:rowOff>2104</xdr:rowOff>
    </xdr:from>
    <xdr:to>
      <xdr:col>7</xdr:col>
      <xdr:colOff>482485</xdr:colOff>
      <xdr:row>44</xdr:row>
      <xdr:rowOff>16392</xdr:rowOff>
    </xdr:to>
    <xdr:graphicFrame macro="">
      <xdr:nvGraphicFramePr>
        <xdr:cNvPr id="20" name="Chart 19">
          <a:extLst>
            <a:ext uri="{FF2B5EF4-FFF2-40B4-BE49-F238E27FC236}">
              <a16:creationId xmlns:a16="http://schemas.microsoft.com/office/drawing/2014/main" xmlns="" id="{F80C3742-2A7A-8C48-986B-D3EB8CBC5A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8</xdr:col>
      <xdr:colOff>578427</xdr:colOff>
      <xdr:row>27</xdr:row>
      <xdr:rowOff>2104</xdr:rowOff>
    </xdr:from>
    <xdr:to>
      <xdr:col>16</xdr:col>
      <xdr:colOff>451312</xdr:colOff>
      <xdr:row>44</xdr:row>
      <xdr:rowOff>16392</xdr:rowOff>
    </xdr:to>
    <xdr:graphicFrame macro="">
      <xdr:nvGraphicFramePr>
        <xdr:cNvPr id="21" name="Chart 20">
          <a:extLst>
            <a:ext uri="{FF2B5EF4-FFF2-40B4-BE49-F238E27FC236}">
              <a16:creationId xmlns:a16="http://schemas.microsoft.com/office/drawing/2014/main" xmlns="" id="{4CD4F6C9-6962-F84F-AAA1-B5767E8580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17</xdr:col>
      <xdr:colOff>547255</xdr:colOff>
      <xdr:row>27</xdr:row>
      <xdr:rowOff>0</xdr:rowOff>
    </xdr:from>
    <xdr:to>
      <xdr:col>25</xdr:col>
      <xdr:colOff>420139</xdr:colOff>
      <xdr:row>44</xdr:row>
      <xdr:rowOff>5506</xdr:rowOff>
    </xdr:to>
    <xdr:graphicFrame macro="">
      <xdr:nvGraphicFramePr>
        <xdr:cNvPr id="22" name="Chart 21">
          <a:extLst>
            <a:ext uri="{FF2B5EF4-FFF2-40B4-BE49-F238E27FC236}">
              <a16:creationId xmlns:a16="http://schemas.microsoft.com/office/drawing/2014/main" xmlns="" id="{709F93BE-B808-6E4C-940C-70057F6160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26</xdr:col>
      <xdr:colOff>516082</xdr:colOff>
      <xdr:row>27</xdr:row>
      <xdr:rowOff>8730</xdr:rowOff>
    </xdr:from>
    <xdr:to>
      <xdr:col>34</xdr:col>
      <xdr:colOff>388966</xdr:colOff>
      <xdr:row>44</xdr:row>
      <xdr:rowOff>23018</xdr:rowOff>
    </xdr:to>
    <xdr:graphicFrame macro="">
      <xdr:nvGraphicFramePr>
        <xdr:cNvPr id="23" name="Chart 22">
          <a:extLst>
            <a:ext uri="{FF2B5EF4-FFF2-40B4-BE49-F238E27FC236}">
              <a16:creationId xmlns:a16="http://schemas.microsoft.com/office/drawing/2014/main" xmlns="" id="{DB34EE11-4421-8F4A-9B9C-647134B1A3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0</xdr:col>
      <xdr:colOff>0</xdr:colOff>
      <xdr:row>48</xdr:row>
      <xdr:rowOff>16824</xdr:rowOff>
    </xdr:from>
    <xdr:to>
      <xdr:col>7</xdr:col>
      <xdr:colOff>482485</xdr:colOff>
      <xdr:row>65</xdr:row>
      <xdr:rowOff>31112</xdr:rowOff>
    </xdr:to>
    <xdr:graphicFrame macro="">
      <xdr:nvGraphicFramePr>
        <xdr:cNvPr id="24" name="Chart 23">
          <a:extLst>
            <a:ext uri="{FF2B5EF4-FFF2-40B4-BE49-F238E27FC236}">
              <a16:creationId xmlns:a16="http://schemas.microsoft.com/office/drawing/2014/main" xmlns="" id="{977E5F33-7487-D145-B1D8-628801EC9B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578427</xdr:colOff>
      <xdr:row>48</xdr:row>
      <xdr:rowOff>16824</xdr:rowOff>
    </xdr:from>
    <xdr:to>
      <xdr:col>16</xdr:col>
      <xdr:colOff>451312</xdr:colOff>
      <xdr:row>65</xdr:row>
      <xdr:rowOff>31112</xdr:rowOff>
    </xdr:to>
    <xdr:graphicFrame macro="">
      <xdr:nvGraphicFramePr>
        <xdr:cNvPr id="25" name="Chart 24">
          <a:extLst>
            <a:ext uri="{FF2B5EF4-FFF2-40B4-BE49-F238E27FC236}">
              <a16:creationId xmlns:a16="http://schemas.microsoft.com/office/drawing/2014/main" xmlns="" id="{B9EDE422-A979-1647-B0F2-467D2EA3DE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17</xdr:col>
      <xdr:colOff>547255</xdr:colOff>
      <xdr:row>48</xdr:row>
      <xdr:rowOff>0</xdr:rowOff>
    </xdr:from>
    <xdr:to>
      <xdr:col>25</xdr:col>
      <xdr:colOff>420139</xdr:colOff>
      <xdr:row>65</xdr:row>
      <xdr:rowOff>20226</xdr:rowOff>
    </xdr:to>
    <xdr:graphicFrame macro="">
      <xdr:nvGraphicFramePr>
        <xdr:cNvPr id="26" name="Chart 25">
          <a:extLst>
            <a:ext uri="{FF2B5EF4-FFF2-40B4-BE49-F238E27FC236}">
              <a16:creationId xmlns:a16="http://schemas.microsoft.com/office/drawing/2014/main" xmlns="" id="{0427BE34-825C-FB42-A0A4-CF8359E478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26</xdr:col>
      <xdr:colOff>516082</xdr:colOff>
      <xdr:row>48</xdr:row>
      <xdr:rowOff>23450</xdr:rowOff>
    </xdr:from>
    <xdr:to>
      <xdr:col>34</xdr:col>
      <xdr:colOff>388966</xdr:colOff>
      <xdr:row>65</xdr:row>
      <xdr:rowOff>37738</xdr:rowOff>
    </xdr:to>
    <xdr:graphicFrame macro="">
      <xdr:nvGraphicFramePr>
        <xdr:cNvPr id="27" name="Chart 26">
          <a:extLst>
            <a:ext uri="{FF2B5EF4-FFF2-40B4-BE49-F238E27FC236}">
              <a16:creationId xmlns:a16="http://schemas.microsoft.com/office/drawing/2014/main" xmlns="" id="{D379F607-1F16-2948-8BF1-D30138E47C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0</xdr:colOff>
      <xdr:row>69</xdr:row>
      <xdr:rowOff>16824</xdr:rowOff>
    </xdr:from>
    <xdr:to>
      <xdr:col>7</xdr:col>
      <xdr:colOff>482485</xdr:colOff>
      <xdr:row>86</xdr:row>
      <xdr:rowOff>31112</xdr:rowOff>
    </xdr:to>
    <xdr:graphicFrame macro="">
      <xdr:nvGraphicFramePr>
        <xdr:cNvPr id="28" name="Chart 27">
          <a:extLst>
            <a:ext uri="{FF2B5EF4-FFF2-40B4-BE49-F238E27FC236}">
              <a16:creationId xmlns:a16="http://schemas.microsoft.com/office/drawing/2014/main" xmlns="" id="{B4028B54-4173-6E43-A7CD-A8DAEE4FDE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578427</xdr:colOff>
      <xdr:row>69</xdr:row>
      <xdr:rowOff>16824</xdr:rowOff>
    </xdr:from>
    <xdr:to>
      <xdr:col>16</xdr:col>
      <xdr:colOff>451312</xdr:colOff>
      <xdr:row>86</xdr:row>
      <xdr:rowOff>31112</xdr:rowOff>
    </xdr:to>
    <xdr:graphicFrame macro="">
      <xdr:nvGraphicFramePr>
        <xdr:cNvPr id="29" name="Chart 28">
          <a:extLst>
            <a:ext uri="{FF2B5EF4-FFF2-40B4-BE49-F238E27FC236}">
              <a16:creationId xmlns:a16="http://schemas.microsoft.com/office/drawing/2014/main" xmlns="" id="{F28FB08E-98D1-9A4A-A7A0-E4C6F87E5A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17</xdr:col>
      <xdr:colOff>547255</xdr:colOff>
      <xdr:row>69</xdr:row>
      <xdr:rowOff>0</xdr:rowOff>
    </xdr:from>
    <xdr:to>
      <xdr:col>25</xdr:col>
      <xdr:colOff>420139</xdr:colOff>
      <xdr:row>86</xdr:row>
      <xdr:rowOff>20226</xdr:rowOff>
    </xdr:to>
    <xdr:graphicFrame macro="">
      <xdr:nvGraphicFramePr>
        <xdr:cNvPr id="30" name="Chart 29">
          <a:extLst>
            <a:ext uri="{FF2B5EF4-FFF2-40B4-BE49-F238E27FC236}">
              <a16:creationId xmlns:a16="http://schemas.microsoft.com/office/drawing/2014/main" xmlns="" id="{6D1C3A38-A3DB-7F4E-B77A-2C3CE43788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26</xdr:col>
      <xdr:colOff>516082</xdr:colOff>
      <xdr:row>69</xdr:row>
      <xdr:rowOff>23450</xdr:rowOff>
    </xdr:from>
    <xdr:to>
      <xdr:col>34</xdr:col>
      <xdr:colOff>388966</xdr:colOff>
      <xdr:row>86</xdr:row>
      <xdr:rowOff>37738</xdr:rowOff>
    </xdr:to>
    <xdr:graphicFrame macro="">
      <xdr:nvGraphicFramePr>
        <xdr:cNvPr id="31" name="Chart 30">
          <a:extLst>
            <a:ext uri="{FF2B5EF4-FFF2-40B4-BE49-F238E27FC236}">
              <a16:creationId xmlns:a16="http://schemas.microsoft.com/office/drawing/2014/main" xmlns="" id="{FFC0D9E3-3CB1-F74D-9E7A-6066F8399C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0</xdr:col>
      <xdr:colOff>0</xdr:colOff>
      <xdr:row>90</xdr:row>
      <xdr:rowOff>16824</xdr:rowOff>
    </xdr:from>
    <xdr:to>
      <xdr:col>7</xdr:col>
      <xdr:colOff>482485</xdr:colOff>
      <xdr:row>107</xdr:row>
      <xdr:rowOff>31113</xdr:rowOff>
    </xdr:to>
    <xdr:graphicFrame macro="">
      <xdr:nvGraphicFramePr>
        <xdr:cNvPr id="32" name="Chart 31">
          <a:extLst>
            <a:ext uri="{FF2B5EF4-FFF2-40B4-BE49-F238E27FC236}">
              <a16:creationId xmlns:a16="http://schemas.microsoft.com/office/drawing/2014/main" xmlns="" id="{2AC7D099-D595-714A-92B5-18068AAE2E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8</xdr:col>
      <xdr:colOff>578427</xdr:colOff>
      <xdr:row>90</xdr:row>
      <xdr:rowOff>16824</xdr:rowOff>
    </xdr:from>
    <xdr:to>
      <xdr:col>16</xdr:col>
      <xdr:colOff>451312</xdr:colOff>
      <xdr:row>107</xdr:row>
      <xdr:rowOff>31113</xdr:rowOff>
    </xdr:to>
    <xdr:graphicFrame macro="">
      <xdr:nvGraphicFramePr>
        <xdr:cNvPr id="33" name="Chart 32">
          <a:extLst>
            <a:ext uri="{FF2B5EF4-FFF2-40B4-BE49-F238E27FC236}">
              <a16:creationId xmlns:a16="http://schemas.microsoft.com/office/drawing/2014/main" xmlns="" id="{3CE8C395-AC2A-4348-B219-95059909B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17</xdr:col>
      <xdr:colOff>547255</xdr:colOff>
      <xdr:row>90</xdr:row>
      <xdr:rowOff>0</xdr:rowOff>
    </xdr:from>
    <xdr:to>
      <xdr:col>25</xdr:col>
      <xdr:colOff>420139</xdr:colOff>
      <xdr:row>107</xdr:row>
      <xdr:rowOff>20227</xdr:rowOff>
    </xdr:to>
    <xdr:graphicFrame macro="">
      <xdr:nvGraphicFramePr>
        <xdr:cNvPr id="34" name="Chart 33">
          <a:extLst>
            <a:ext uri="{FF2B5EF4-FFF2-40B4-BE49-F238E27FC236}">
              <a16:creationId xmlns:a16="http://schemas.microsoft.com/office/drawing/2014/main" xmlns="" id="{EF92F61E-7BED-3147-8C6B-38A4451D7D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26</xdr:col>
      <xdr:colOff>516082</xdr:colOff>
      <xdr:row>90</xdr:row>
      <xdr:rowOff>23450</xdr:rowOff>
    </xdr:from>
    <xdr:to>
      <xdr:col>34</xdr:col>
      <xdr:colOff>388966</xdr:colOff>
      <xdr:row>107</xdr:row>
      <xdr:rowOff>37739</xdr:rowOff>
    </xdr:to>
    <xdr:graphicFrame macro="">
      <xdr:nvGraphicFramePr>
        <xdr:cNvPr id="35" name="Chart 34">
          <a:extLst>
            <a:ext uri="{FF2B5EF4-FFF2-40B4-BE49-F238E27FC236}">
              <a16:creationId xmlns:a16="http://schemas.microsoft.com/office/drawing/2014/main" xmlns="" id="{0509C4FD-58AA-A949-8581-85BCFDE910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5</xdr:row>
      <xdr:rowOff>1</xdr:rowOff>
    </xdr:from>
    <xdr:to>
      <xdr:col>7</xdr:col>
      <xdr:colOff>11425</xdr:colOff>
      <xdr:row>25</xdr:row>
      <xdr:rowOff>152401</xdr:rowOff>
    </xdr:to>
    <xdr:pic>
      <xdr:nvPicPr>
        <xdr:cNvPr id="2" name="Picture 1">
          <a:extLst>
            <a:ext uri="{FF2B5EF4-FFF2-40B4-BE49-F238E27FC236}">
              <a16:creationId xmlns:a16="http://schemas.microsoft.com/office/drawing/2014/main" xmlns="" id="{3DFF3027-BF9A-5046-BB1F-C920C550BEC4}"/>
            </a:ext>
          </a:extLst>
        </xdr:cNvPr>
        <xdr:cNvPicPr>
          <a:picLocks noChangeAspect="1"/>
        </xdr:cNvPicPr>
      </xdr:nvPicPr>
      <xdr:blipFill>
        <a:blip xmlns:r="http://schemas.openxmlformats.org/officeDocument/2006/relationships" r:embed="rId1"/>
        <a:stretch>
          <a:fillRect/>
        </a:stretch>
      </xdr:blipFill>
      <xdr:spPr>
        <a:xfrm>
          <a:off x="0" y="1028701"/>
          <a:ext cx="4723125" cy="3962400"/>
        </a:xfrm>
        <a:prstGeom prst="rect">
          <a:avLst/>
        </a:prstGeom>
      </xdr:spPr>
    </xdr:pic>
    <xdr:clientData/>
  </xdr:twoCellAnchor>
  <xdr:twoCellAnchor editAs="oneCell">
    <xdr:from>
      <xdr:col>8</xdr:col>
      <xdr:colOff>0</xdr:colOff>
      <xdr:row>5</xdr:row>
      <xdr:rowOff>1</xdr:rowOff>
    </xdr:from>
    <xdr:to>
      <xdr:col>15</xdr:col>
      <xdr:colOff>11425</xdr:colOff>
      <xdr:row>25</xdr:row>
      <xdr:rowOff>152401</xdr:rowOff>
    </xdr:to>
    <xdr:pic>
      <xdr:nvPicPr>
        <xdr:cNvPr id="3" name="Picture 2">
          <a:extLst>
            <a:ext uri="{FF2B5EF4-FFF2-40B4-BE49-F238E27FC236}">
              <a16:creationId xmlns:a16="http://schemas.microsoft.com/office/drawing/2014/main" xmlns="" id="{FEE58992-BE12-484D-B394-67C80757DB81}"/>
            </a:ext>
          </a:extLst>
        </xdr:cNvPr>
        <xdr:cNvPicPr>
          <a:picLocks noChangeAspect="1"/>
        </xdr:cNvPicPr>
      </xdr:nvPicPr>
      <xdr:blipFill>
        <a:blip xmlns:r="http://schemas.openxmlformats.org/officeDocument/2006/relationships" r:embed="rId2"/>
        <a:stretch>
          <a:fillRect/>
        </a:stretch>
      </xdr:blipFill>
      <xdr:spPr>
        <a:xfrm>
          <a:off x="5384800" y="1028701"/>
          <a:ext cx="4723125" cy="3962400"/>
        </a:xfrm>
        <a:prstGeom prst="rect">
          <a:avLst/>
        </a:prstGeom>
      </xdr:spPr>
    </xdr:pic>
    <xdr:clientData/>
  </xdr:twoCellAnchor>
  <xdr:twoCellAnchor editAs="oneCell">
    <xdr:from>
      <xdr:col>0</xdr:col>
      <xdr:colOff>0</xdr:colOff>
      <xdr:row>28</xdr:row>
      <xdr:rowOff>0</xdr:rowOff>
    </xdr:from>
    <xdr:to>
      <xdr:col>7</xdr:col>
      <xdr:colOff>16606</xdr:colOff>
      <xdr:row>48</xdr:row>
      <xdr:rowOff>152400</xdr:rowOff>
    </xdr:to>
    <xdr:pic>
      <xdr:nvPicPr>
        <xdr:cNvPr id="4" name="Picture 3">
          <a:extLst>
            <a:ext uri="{FF2B5EF4-FFF2-40B4-BE49-F238E27FC236}">
              <a16:creationId xmlns:a16="http://schemas.microsoft.com/office/drawing/2014/main" xmlns="" id="{C00AF3D7-F794-7C41-895E-F18CBF1F92B5}"/>
            </a:ext>
          </a:extLst>
        </xdr:cNvPr>
        <xdr:cNvPicPr>
          <a:picLocks noChangeAspect="1"/>
        </xdr:cNvPicPr>
      </xdr:nvPicPr>
      <xdr:blipFill>
        <a:blip xmlns:r="http://schemas.openxmlformats.org/officeDocument/2006/relationships" r:embed="rId3"/>
        <a:stretch>
          <a:fillRect/>
        </a:stretch>
      </xdr:blipFill>
      <xdr:spPr>
        <a:xfrm>
          <a:off x="0" y="5410200"/>
          <a:ext cx="4728306" cy="3962400"/>
        </a:xfrm>
        <a:prstGeom prst="rect">
          <a:avLst/>
        </a:prstGeom>
      </xdr:spPr>
    </xdr:pic>
    <xdr:clientData/>
  </xdr:twoCellAnchor>
  <xdr:twoCellAnchor editAs="oneCell">
    <xdr:from>
      <xdr:col>8</xdr:col>
      <xdr:colOff>0</xdr:colOff>
      <xdr:row>28</xdr:row>
      <xdr:rowOff>0</xdr:rowOff>
    </xdr:from>
    <xdr:to>
      <xdr:col>15</xdr:col>
      <xdr:colOff>6308</xdr:colOff>
      <xdr:row>48</xdr:row>
      <xdr:rowOff>142875</xdr:rowOff>
    </xdr:to>
    <xdr:pic>
      <xdr:nvPicPr>
        <xdr:cNvPr id="5" name="Picture 4">
          <a:extLst>
            <a:ext uri="{FF2B5EF4-FFF2-40B4-BE49-F238E27FC236}">
              <a16:creationId xmlns:a16="http://schemas.microsoft.com/office/drawing/2014/main" xmlns="" id="{839939F7-E04F-6C43-8009-0306509E52B1}"/>
            </a:ext>
          </a:extLst>
        </xdr:cNvPr>
        <xdr:cNvPicPr>
          <a:picLocks noChangeAspect="1"/>
        </xdr:cNvPicPr>
      </xdr:nvPicPr>
      <xdr:blipFill>
        <a:blip xmlns:r="http://schemas.openxmlformats.org/officeDocument/2006/relationships" r:embed="rId4"/>
        <a:stretch>
          <a:fillRect/>
        </a:stretch>
      </xdr:blipFill>
      <xdr:spPr>
        <a:xfrm>
          <a:off x="5384800" y="5410200"/>
          <a:ext cx="4718008" cy="3952875"/>
        </a:xfrm>
        <a:prstGeom prst="rect">
          <a:avLst/>
        </a:prstGeom>
      </xdr:spPr>
    </xdr:pic>
    <xdr:clientData/>
  </xdr:twoCellAnchor>
  <xdr:twoCellAnchor editAs="oneCell">
    <xdr:from>
      <xdr:col>0</xdr:col>
      <xdr:colOff>0</xdr:colOff>
      <xdr:row>51</xdr:row>
      <xdr:rowOff>1</xdr:rowOff>
    </xdr:from>
    <xdr:to>
      <xdr:col>7</xdr:col>
      <xdr:colOff>11425</xdr:colOff>
      <xdr:row>71</xdr:row>
      <xdr:rowOff>152401</xdr:rowOff>
    </xdr:to>
    <xdr:pic>
      <xdr:nvPicPr>
        <xdr:cNvPr id="6" name="Picture 5">
          <a:extLst>
            <a:ext uri="{FF2B5EF4-FFF2-40B4-BE49-F238E27FC236}">
              <a16:creationId xmlns:a16="http://schemas.microsoft.com/office/drawing/2014/main" xmlns="" id="{3A86A87B-4AE0-6340-B803-5326BC2AEEA4}"/>
            </a:ext>
          </a:extLst>
        </xdr:cNvPr>
        <xdr:cNvPicPr>
          <a:picLocks noChangeAspect="1"/>
        </xdr:cNvPicPr>
      </xdr:nvPicPr>
      <xdr:blipFill>
        <a:blip xmlns:r="http://schemas.openxmlformats.org/officeDocument/2006/relationships" r:embed="rId5"/>
        <a:stretch>
          <a:fillRect/>
        </a:stretch>
      </xdr:blipFill>
      <xdr:spPr>
        <a:xfrm>
          <a:off x="0" y="9791701"/>
          <a:ext cx="4723125" cy="3962400"/>
        </a:xfrm>
        <a:prstGeom prst="rect">
          <a:avLst/>
        </a:prstGeom>
      </xdr:spPr>
    </xdr:pic>
    <xdr:clientData/>
  </xdr:twoCellAnchor>
  <xdr:twoCellAnchor editAs="oneCell">
    <xdr:from>
      <xdr:col>8</xdr:col>
      <xdr:colOff>0</xdr:colOff>
      <xdr:row>51</xdr:row>
      <xdr:rowOff>1</xdr:rowOff>
    </xdr:from>
    <xdr:to>
      <xdr:col>15</xdr:col>
      <xdr:colOff>11425</xdr:colOff>
      <xdr:row>71</xdr:row>
      <xdr:rowOff>152401</xdr:rowOff>
    </xdr:to>
    <xdr:pic>
      <xdr:nvPicPr>
        <xdr:cNvPr id="7" name="Picture 6">
          <a:extLst>
            <a:ext uri="{FF2B5EF4-FFF2-40B4-BE49-F238E27FC236}">
              <a16:creationId xmlns:a16="http://schemas.microsoft.com/office/drawing/2014/main" xmlns="" id="{6D4AB492-6181-EA42-9A70-A8E286AC9170}"/>
            </a:ext>
          </a:extLst>
        </xdr:cNvPr>
        <xdr:cNvPicPr>
          <a:picLocks noChangeAspect="1"/>
        </xdr:cNvPicPr>
      </xdr:nvPicPr>
      <xdr:blipFill>
        <a:blip xmlns:r="http://schemas.openxmlformats.org/officeDocument/2006/relationships" r:embed="rId6"/>
        <a:stretch>
          <a:fillRect/>
        </a:stretch>
      </xdr:blipFill>
      <xdr:spPr>
        <a:xfrm>
          <a:off x="5384800" y="9791701"/>
          <a:ext cx="4723125" cy="3962400"/>
        </a:xfrm>
        <a:prstGeom prst="rect">
          <a:avLst/>
        </a:prstGeom>
      </xdr:spPr>
    </xdr:pic>
    <xdr:clientData/>
  </xdr:twoCellAnchor>
  <xdr:twoCellAnchor editAs="oneCell">
    <xdr:from>
      <xdr:col>0</xdr:col>
      <xdr:colOff>0</xdr:colOff>
      <xdr:row>74</xdr:row>
      <xdr:rowOff>0</xdr:rowOff>
    </xdr:from>
    <xdr:to>
      <xdr:col>6</xdr:col>
      <xdr:colOff>605611</xdr:colOff>
      <xdr:row>94</xdr:row>
      <xdr:rowOff>133350</xdr:rowOff>
    </xdr:to>
    <xdr:pic>
      <xdr:nvPicPr>
        <xdr:cNvPr id="8" name="Picture 7">
          <a:extLst>
            <a:ext uri="{FF2B5EF4-FFF2-40B4-BE49-F238E27FC236}">
              <a16:creationId xmlns:a16="http://schemas.microsoft.com/office/drawing/2014/main" xmlns="" id="{B258D988-EA5F-9F43-89AF-0C62DC2A5EC2}"/>
            </a:ext>
          </a:extLst>
        </xdr:cNvPr>
        <xdr:cNvPicPr>
          <a:picLocks noChangeAspect="1"/>
        </xdr:cNvPicPr>
      </xdr:nvPicPr>
      <xdr:blipFill>
        <a:blip xmlns:r="http://schemas.openxmlformats.org/officeDocument/2006/relationships" r:embed="rId7"/>
        <a:stretch>
          <a:fillRect/>
        </a:stretch>
      </xdr:blipFill>
      <xdr:spPr>
        <a:xfrm>
          <a:off x="0" y="14173200"/>
          <a:ext cx="4644211" cy="3943350"/>
        </a:xfrm>
        <a:prstGeom prst="rect">
          <a:avLst/>
        </a:prstGeom>
      </xdr:spPr>
    </xdr:pic>
    <xdr:clientData/>
  </xdr:twoCellAnchor>
  <xdr:twoCellAnchor editAs="oneCell">
    <xdr:from>
      <xdr:col>8</xdr:col>
      <xdr:colOff>0</xdr:colOff>
      <xdr:row>74</xdr:row>
      <xdr:rowOff>0</xdr:rowOff>
    </xdr:from>
    <xdr:to>
      <xdr:col>15</xdr:col>
      <xdr:colOff>6308</xdr:colOff>
      <xdr:row>94</xdr:row>
      <xdr:rowOff>142875</xdr:rowOff>
    </xdr:to>
    <xdr:pic>
      <xdr:nvPicPr>
        <xdr:cNvPr id="9" name="Picture 8">
          <a:extLst>
            <a:ext uri="{FF2B5EF4-FFF2-40B4-BE49-F238E27FC236}">
              <a16:creationId xmlns:a16="http://schemas.microsoft.com/office/drawing/2014/main" xmlns="" id="{97FC979C-BA92-754B-9CF3-3B3F59467DBD}"/>
            </a:ext>
          </a:extLst>
        </xdr:cNvPr>
        <xdr:cNvPicPr>
          <a:picLocks noChangeAspect="1"/>
        </xdr:cNvPicPr>
      </xdr:nvPicPr>
      <xdr:blipFill>
        <a:blip xmlns:r="http://schemas.openxmlformats.org/officeDocument/2006/relationships" r:embed="rId8"/>
        <a:stretch>
          <a:fillRect/>
        </a:stretch>
      </xdr:blipFill>
      <xdr:spPr>
        <a:xfrm>
          <a:off x="5384800" y="14173200"/>
          <a:ext cx="4718008" cy="3952875"/>
        </a:xfrm>
        <a:prstGeom prst="rect">
          <a:avLst/>
        </a:prstGeom>
      </xdr:spPr>
    </xdr:pic>
    <xdr:clientData/>
  </xdr:twoCellAnchor>
  <xdr:twoCellAnchor editAs="oneCell">
    <xdr:from>
      <xdr:col>0</xdr:col>
      <xdr:colOff>1</xdr:colOff>
      <xdr:row>97</xdr:row>
      <xdr:rowOff>0</xdr:rowOff>
    </xdr:from>
    <xdr:to>
      <xdr:col>6</xdr:col>
      <xdr:colOff>605961</xdr:colOff>
      <xdr:row>117</xdr:row>
      <xdr:rowOff>142875</xdr:rowOff>
    </xdr:to>
    <xdr:pic>
      <xdr:nvPicPr>
        <xdr:cNvPr id="10" name="Picture 9">
          <a:extLst>
            <a:ext uri="{FF2B5EF4-FFF2-40B4-BE49-F238E27FC236}">
              <a16:creationId xmlns:a16="http://schemas.microsoft.com/office/drawing/2014/main" xmlns="" id="{A7ABC2D4-25EF-7542-9686-798FC549A260}"/>
            </a:ext>
          </a:extLst>
        </xdr:cNvPr>
        <xdr:cNvPicPr>
          <a:picLocks noChangeAspect="1"/>
        </xdr:cNvPicPr>
      </xdr:nvPicPr>
      <xdr:blipFill>
        <a:blip xmlns:r="http://schemas.openxmlformats.org/officeDocument/2006/relationships" r:embed="rId9"/>
        <a:stretch>
          <a:fillRect/>
        </a:stretch>
      </xdr:blipFill>
      <xdr:spPr>
        <a:xfrm>
          <a:off x="1" y="18554700"/>
          <a:ext cx="4644560" cy="3952875"/>
        </a:xfrm>
        <a:prstGeom prst="rect">
          <a:avLst/>
        </a:prstGeom>
      </xdr:spPr>
    </xdr:pic>
    <xdr:clientData/>
  </xdr:twoCellAnchor>
  <xdr:twoCellAnchor editAs="oneCell">
    <xdr:from>
      <xdr:col>8</xdr:col>
      <xdr:colOff>0</xdr:colOff>
      <xdr:row>97</xdr:row>
      <xdr:rowOff>0</xdr:rowOff>
    </xdr:from>
    <xdr:to>
      <xdr:col>15</xdr:col>
      <xdr:colOff>21711</xdr:colOff>
      <xdr:row>117</xdr:row>
      <xdr:rowOff>161925</xdr:rowOff>
    </xdr:to>
    <xdr:pic>
      <xdr:nvPicPr>
        <xdr:cNvPr id="11" name="Picture 10">
          <a:extLst>
            <a:ext uri="{FF2B5EF4-FFF2-40B4-BE49-F238E27FC236}">
              <a16:creationId xmlns:a16="http://schemas.microsoft.com/office/drawing/2014/main" xmlns="" id="{A464A064-7941-484A-ADB2-695DBC236BFA}"/>
            </a:ext>
          </a:extLst>
        </xdr:cNvPr>
        <xdr:cNvPicPr>
          <a:picLocks noChangeAspect="1"/>
        </xdr:cNvPicPr>
      </xdr:nvPicPr>
      <xdr:blipFill>
        <a:blip xmlns:r="http://schemas.openxmlformats.org/officeDocument/2006/relationships" r:embed="rId10"/>
        <a:stretch>
          <a:fillRect/>
        </a:stretch>
      </xdr:blipFill>
      <xdr:spPr>
        <a:xfrm>
          <a:off x="5384800" y="18554700"/>
          <a:ext cx="4733411" cy="3971925"/>
        </a:xfrm>
        <a:prstGeom prst="rect">
          <a:avLst/>
        </a:prstGeom>
      </xdr:spPr>
    </xdr:pic>
    <xdr:clientData/>
  </xdr:twoCellAnchor>
  <xdr:twoCellAnchor editAs="oneCell">
    <xdr:from>
      <xdr:col>0</xdr:col>
      <xdr:colOff>0</xdr:colOff>
      <xdr:row>120</xdr:row>
      <xdr:rowOff>0</xdr:rowOff>
    </xdr:from>
    <xdr:to>
      <xdr:col>7</xdr:col>
      <xdr:colOff>16606</xdr:colOff>
      <xdr:row>140</xdr:row>
      <xdr:rowOff>152400</xdr:rowOff>
    </xdr:to>
    <xdr:pic>
      <xdr:nvPicPr>
        <xdr:cNvPr id="12" name="Picture 11">
          <a:extLst>
            <a:ext uri="{FF2B5EF4-FFF2-40B4-BE49-F238E27FC236}">
              <a16:creationId xmlns:a16="http://schemas.microsoft.com/office/drawing/2014/main" xmlns="" id="{5F82BC97-F311-864E-8349-998A2FE343A4}"/>
            </a:ext>
          </a:extLst>
        </xdr:cNvPr>
        <xdr:cNvPicPr>
          <a:picLocks noChangeAspect="1"/>
        </xdr:cNvPicPr>
      </xdr:nvPicPr>
      <xdr:blipFill>
        <a:blip xmlns:r="http://schemas.openxmlformats.org/officeDocument/2006/relationships" r:embed="rId11"/>
        <a:stretch>
          <a:fillRect/>
        </a:stretch>
      </xdr:blipFill>
      <xdr:spPr>
        <a:xfrm>
          <a:off x="0" y="22936200"/>
          <a:ext cx="4728306" cy="3962400"/>
        </a:xfrm>
        <a:prstGeom prst="rect">
          <a:avLst/>
        </a:prstGeom>
      </xdr:spPr>
    </xdr:pic>
    <xdr:clientData/>
  </xdr:twoCellAnchor>
  <xdr:twoCellAnchor editAs="oneCell">
    <xdr:from>
      <xdr:col>8</xdr:col>
      <xdr:colOff>1</xdr:colOff>
      <xdr:row>120</xdr:row>
      <xdr:rowOff>0</xdr:rowOff>
    </xdr:from>
    <xdr:to>
      <xdr:col>15</xdr:col>
      <xdr:colOff>22095</xdr:colOff>
      <xdr:row>140</xdr:row>
      <xdr:rowOff>161925</xdr:rowOff>
    </xdr:to>
    <xdr:pic>
      <xdr:nvPicPr>
        <xdr:cNvPr id="13" name="Picture 12">
          <a:extLst>
            <a:ext uri="{FF2B5EF4-FFF2-40B4-BE49-F238E27FC236}">
              <a16:creationId xmlns:a16="http://schemas.microsoft.com/office/drawing/2014/main" xmlns="" id="{65520E64-CEE4-F648-B95B-57B9D61195DB}"/>
            </a:ext>
          </a:extLst>
        </xdr:cNvPr>
        <xdr:cNvPicPr>
          <a:picLocks noChangeAspect="1"/>
        </xdr:cNvPicPr>
      </xdr:nvPicPr>
      <xdr:blipFill>
        <a:blip xmlns:r="http://schemas.openxmlformats.org/officeDocument/2006/relationships" r:embed="rId12"/>
        <a:stretch>
          <a:fillRect/>
        </a:stretch>
      </xdr:blipFill>
      <xdr:spPr>
        <a:xfrm>
          <a:off x="5384801" y="22936200"/>
          <a:ext cx="4733794" cy="3971925"/>
        </a:xfrm>
        <a:prstGeom prst="rect">
          <a:avLst/>
        </a:prstGeom>
      </xdr:spPr>
    </xdr:pic>
    <xdr:clientData/>
  </xdr:twoCellAnchor>
  <xdr:twoCellAnchor editAs="oneCell">
    <xdr:from>
      <xdr:col>0</xdr:col>
      <xdr:colOff>0</xdr:colOff>
      <xdr:row>143</xdr:row>
      <xdr:rowOff>1</xdr:rowOff>
    </xdr:from>
    <xdr:to>
      <xdr:col>7</xdr:col>
      <xdr:colOff>11425</xdr:colOff>
      <xdr:row>163</xdr:row>
      <xdr:rowOff>152401</xdr:rowOff>
    </xdr:to>
    <xdr:pic>
      <xdr:nvPicPr>
        <xdr:cNvPr id="14" name="Picture 13">
          <a:extLst>
            <a:ext uri="{FF2B5EF4-FFF2-40B4-BE49-F238E27FC236}">
              <a16:creationId xmlns:a16="http://schemas.microsoft.com/office/drawing/2014/main" xmlns="" id="{177C3A34-40DE-E847-B129-93375196C7C6}"/>
            </a:ext>
          </a:extLst>
        </xdr:cNvPr>
        <xdr:cNvPicPr>
          <a:picLocks noChangeAspect="1"/>
        </xdr:cNvPicPr>
      </xdr:nvPicPr>
      <xdr:blipFill>
        <a:blip xmlns:r="http://schemas.openxmlformats.org/officeDocument/2006/relationships" r:embed="rId13"/>
        <a:stretch>
          <a:fillRect/>
        </a:stretch>
      </xdr:blipFill>
      <xdr:spPr>
        <a:xfrm>
          <a:off x="0" y="27317701"/>
          <a:ext cx="4723125" cy="3962400"/>
        </a:xfrm>
        <a:prstGeom prst="rect">
          <a:avLst/>
        </a:prstGeom>
      </xdr:spPr>
    </xdr:pic>
    <xdr:clientData/>
  </xdr:twoCellAnchor>
  <xdr:twoCellAnchor editAs="oneCell">
    <xdr:from>
      <xdr:col>8</xdr:col>
      <xdr:colOff>1</xdr:colOff>
      <xdr:row>143</xdr:row>
      <xdr:rowOff>0</xdr:rowOff>
    </xdr:from>
    <xdr:to>
      <xdr:col>15</xdr:col>
      <xdr:colOff>9525</xdr:colOff>
      <xdr:row>163</xdr:row>
      <xdr:rowOff>155080</xdr:rowOff>
    </xdr:to>
    <xdr:pic>
      <xdr:nvPicPr>
        <xdr:cNvPr id="15" name="Picture 14">
          <a:extLst>
            <a:ext uri="{FF2B5EF4-FFF2-40B4-BE49-F238E27FC236}">
              <a16:creationId xmlns:a16="http://schemas.microsoft.com/office/drawing/2014/main" xmlns="" id="{044D9DAE-83FC-8542-AE03-C189D7ABD9A0}"/>
            </a:ext>
          </a:extLst>
        </xdr:cNvPr>
        <xdr:cNvPicPr>
          <a:picLocks noChangeAspect="1"/>
        </xdr:cNvPicPr>
      </xdr:nvPicPr>
      <xdr:blipFill>
        <a:blip xmlns:r="http://schemas.openxmlformats.org/officeDocument/2006/relationships" r:embed="rId14"/>
        <a:stretch>
          <a:fillRect/>
        </a:stretch>
      </xdr:blipFill>
      <xdr:spPr>
        <a:xfrm>
          <a:off x="5384801" y="27317700"/>
          <a:ext cx="4721224" cy="3965080"/>
        </a:xfrm>
        <a:prstGeom prst="rect">
          <a:avLst/>
        </a:prstGeom>
      </xdr:spPr>
    </xdr:pic>
    <xdr:clientData/>
  </xdr:twoCellAnchor>
  <xdr:twoCellAnchor editAs="oneCell">
    <xdr:from>
      <xdr:col>0</xdr:col>
      <xdr:colOff>0</xdr:colOff>
      <xdr:row>166</xdr:row>
      <xdr:rowOff>0</xdr:rowOff>
    </xdr:from>
    <xdr:to>
      <xdr:col>7</xdr:col>
      <xdr:colOff>19050</xdr:colOff>
      <xdr:row>186</xdr:row>
      <xdr:rowOff>154661</xdr:rowOff>
    </xdr:to>
    <xdr:pic>
      <xdr:nvPicPr>
        <xdr:cNvPr id="16" name="Picture 15">
          <a:extLst>
            <a:ext uri="{FF2B5EF4-FFF2-40B4-BE49-F238E27FC236}">
              <a16:creationId xmlns:a16="http://schemas.microsoft.com/office/drawing/2014/main" xmlns="" id="{28465F21-A2F7-AF4C-8FFA-5FDF3042D805}"/>
            </a:ext>
          </a:extLst>
        </xdr:cNvPr>
        <xdr:cNvPicPr>
          <a:picLocks noChangeAspect="1"/>
        </xdr:cNvPicPr>
      </xdr:nvPicPr>
      <xdr:blipFill>
        <a:blip xmlns:r="http://schemas.openxmlformats.org/officeDocument/2006/relationships" r:embed="rId15"/>
        <a:stretch>
          <a:fillRect/>
        </a:stretch>
      </xdr:blipFill>
      <xdr:spPr>
        <a:xfrm>
          <a:off x="0" y="31699200"/>
          <a:ext cx="4730750" cy="3964661"/>
        </a:xfrm>
        <a:prstGeom prst="rect">
          <a:avLst/>
        </a:prstGeom>
      </xdr:spPr>
    </xdr:pic>
    <xdr:clientData/>
  </xdr:twoCellAnchor>
  <xdr:twoCellAnchor editAs="oneCell">
    <xdr:from>
      <xdr:col>8</xdr:col>
      <xdr:colOff>0</xdr:colOff>
      <xdr:row>166</xdr:row>
      <xdr:rowOff>0</xdr:rowOff>
    </xdr:from>
    <xdr:to>
      <xdr:col>15</xdr:col>
      <xdr:colOff>6308</xdr:colOff>
      <xdr:row>186</xdr:row>
      <xdr:rowOff>142875</xdr:rowOff>
    </xdr:to>
    <xdr:pic>
      <xdr:nvPicPr>
        <xdr:cNvPr id="17" name="Picture 16">
          <a:extLst>
            <a:ext uri="{FF2B5EF4-FFF2-40B4-BE49-F238E27FC236}">
              <a16:creationId xmlns:a16="http://schemas.microsoft.com/office/drawing/2014/main" xmlns="" id="{D06C242D-3C73-3A44-8131-B669C69A92F9}"/>
            </a:ext>
          </a:extLst>
        </xdr:cNvPr>
        <xdr:cNvPicPr>
          <a:picLocks noChangeAspect="1"/>
        </xdr:cNvPicPr>
      </xdr:nvPicPr>
      <xdr:blipFill>
        <a:blip xmlns:r="http://schemas.openxmlformats.org/officeDocument/2006/relationships" r:embed="rId16"/>
        <a:stretch>
          <a:fillRect/>
        </a:stretch>
      </xdr:blipFill>
      <xdr:spPr>
        <a:xfrm>
          <a:off x="5384800" y="31699200"/>
          <a:ext cx="4718008" cy="3952875"/>
        </a:xfrm>
        <a:prstGeom prst="rect">
          <a:avLst/>
        </a:prstGeom>
      </xdr:spPr>
    </xdr:pic>
    <xdr:clientData/>
  </xdr:twoCellAnchor>
  <xdr:twoCellAnchor editAs="oneCell">
    <xdr:from>
      <xdr:col>0</xdr:col>
      <xdr:colOff>1</xdr:colOff>
      <xdr:row>189</xdr:row>
      <xdr:rowOff>0</xdr:rowOff>
    </xdr:from>
    <xdr:to>
      <xdr:col>7</xdr:col>
      <xdr:colOff>11809</xdr:colOff>
      <xdr:row>209</xdr:row>
      <xdr:rowOff>152400</xdr:rowOff>
    </xdr:to>
    <xdr:pic>
      <xdr:nvPicPr>
        <xdr:cNvPr id="18" name="Picture 17">
          <a:extLst>
            <a:ext uri="{FF2B5EF4-FFF2-40B4-BE49-F238E27FC236}">
              <a16:creationId xmlns:a16="http://schemas.microsoft.com/office/drawing/2014/main" xmlns="" id="{0823309F-AB37-7844-AEEC-960DC7736CCD}"/>
            </a:ext>
          </a:extLst>
        </xdr:cNvPr>
        <xdr:cNvPicPr>
          <a:picLocks noChangeAspect="1"/>
        </xdr:cNvPicPr>
      </xdr:nvPicPr>
      <xdr:blipFill>
        <a:blip xmlns:r="http://schemas.openxmlformats.org/officeDocument/2006/relationships" r:embed="rId17"/>
        <a:stretch>
          <a:fillRect/>
        </a:stretch>
      </xdr:blipFill>
      <xdr:spPr>
        <a:xfrm>
          <a:off x="1" y="36080700"/>
          <a:ext cx="4723508" cy="3962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25401</xdr:colOff>
      <xdr:row>2</xdr:row>
      <xdr:rowOff>10583</xdr:rowOff>
    </xdr:from>
    <xdr:to>
      <xdr:col>10</xdr:col>
      <xdr:colOff>876301</xdr:colOff>
      <xdr:row>10</xdr:row>
      <xdr:rowOff>0</xdr:rowOff>
    </xdr:to>
    <xdr:graphicFrame macro="">
      <xdr:nvGraphicFramePr>
        <xdr:cNvPr id="2" name="Chart 1">
          <a:extLst>
            <a:ext uri="{FF2B5EF4-FFF2-40B4-BE49-F238E27FC236}">
              <a16:creationId xmlns:a16="http://schemas.microsoft.com/office/drawing/2014/main" xmlns="" id="{1700D3C0-405A-2E41-853D-ABBE360993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15361</xdr:colOff>
      <xdr:row>2</xdr:row>
      <xdr:rowOff>10583</xdr:rowOff>
    </xdr:from>
    <xdr:to>
      <xdr:col>3</xdr:col>
      <xdr:colOff>931334</xdr:colOff>
      <xdr:row>10</xdr:row>
      <xdr:rowOff>0</xdr:rowOff>
    </xdr:to>
    <xdr:graphicFrame macro="">
      <xdr:nvGraphicFramePr>
        <xdr:cNvPr id="3" name="Chart 2">
          <a:extLst>
            <a:ext uri="{FF2B5EF4-FFF2-40B4-BE49-F238E27FC236}">
              <a16:creationId xmlns:a16="http://schemas.microsoft.com/office/drawing/2014/main" xmlns="" id="{8757341F-4EE4-1447-96B4-1D4D508D58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12700</xdr:colOff>
      <xdr:row>2</xdr:row>
      <xdr:rowOff>10585</xdr:rowOff>
    </xdr:from>
    <xdr:to>
      <xdr:col>10</xdr:col>
      <xdr:colOff>857972</xdr:colOff>
      <xdr:row>9</xdr:row>
      <xdr:rowOff>330201</xdr:rowOff>
    </xdr:to>
    <xdr:graphicFrame macro="">
      <xdr:nvGraphicFramePr>
        <xdr:cNvPr id="2" name="Chart 1">
          <a:extLst>
            <a:ext uri="{FF2B5EF4-FFF2-40B4-BE49-F238E27FC236}">
              <a16:creationId xmlns:a16="http://schemas.microsoft.com/office/drawing/2014/main" xmlns="" id="{7474304E-0FA3-444A-9FF8-4A5546F734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25944</xdr:colOff>
      <xdr:row>2</xdr:row>
      <xdr:rowOff>0</xdr:rowOff>
    </xdr:from>
    <xdr:to>
      <xdr:col>3</xdr:col>
      <xdr:colOff>941916</xdr:colOff>
      <xdr:row>9</xdr:row>
      <xdr:rowOff>190499</xdr:rowOff>
    </xdr:to>
    <xdr:graphicFrame macro="">
      <xdr:nvGraphicFramePr>
        <xdr:cNvPr id="3" name="Chart 2">
          <a:extLst>
            <a:ext uri="{FF2B5EF4-FFF2-40B4-BE49-F238E27FC236}">
              <a16:creationId xmlns:a16="http://schemas.microsoft.com/office/drawing/2014/main" xmlns="" id="{DE9766B0-DEE8-4540-BCFB-3EA8CBE3C0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2</xdr:row>
      <xdr:rowOff>12700</xdr:rowOff>
    </xdr:from>
    <xdr:to>
      <xdr:col>11</xdr:col>
      <xdr:colOff>12699</xdr:colOff>
      <xdr:row>10</xdr:row>
      <xdr:rowOff>0</xdr:rowOff>
    </xdr:to>
    <xdr:graphicFrame macro="">
      <xdr:nvGraphicFramePr>
        <xdr:cNvPr id="2" name="Chart 1">
          <a:extLst>
            <a:ext uri="{FF2B5EF4-FFF2-40B4-BE49-F238E27FC236}">
              <a16:creationId xmlns:a16="http://schemas.microsoft.com/office/drawing/2014/main" xmlns="" id="{DF373518-040E-495B-859F-8BB3EDD425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9821</xdr:colOff>
      <xdr:row>2</xdr:row>
      <xdr:rowOff>7530</xdr:rowOff>
    </xdr:from>
    <xdr:to>
      <xdr:col>4</xdr:col>
      <xdr:colOff>31750</xdr:colOff>
      <xdr:row>10</xdr:row>
      <xdr:rowOff>38099</xdr:rowOff>
    </xdr:to>
    <xdr:graphicFrame macro="">
      <xdr:nvGraphicFramePr>
        <xdr:cNvPr id="3" name="Chart 2">
          <a:extLst>
            <a:ext uri="{FF2B5EF4-FFF2-40B4-BE49-F238E27FC236}">
              <a16:creationId xmlns:a16="http://schemas.microsoft.com/office/drawing/2014/main" xmlns="" id="{116A79DA-632B-42C6-895B-17DF73A47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12700</xdr:colOff>
      <xdr:row>2</xdr:row>
      <xdr:rowOff>12701</xdr:rowOff>
    </xdr:from>
    <xdr:to>
      <xdr:col>10</xdr:col>
      <xdr:colOff>857972</xdr:colOff>
      <xdr:row>9</xdr:row>
      <xdr:rowOff>177801</xdr:rowOff>
    </xdr:to>
    <xdr:graphicFrame macro="">
      <xdr:nvGraphicFramePr>
        <xdr:cNvPr id="2" name="Chart 1">
          <a:extLst>
            <a:ext uri="{FF2B5EF4-FFF2-40B4-BE49-F238E27FC236}">
              <a16:creationId xmlns:a16="http://schemas.microsoft.com/office/drawing/2014/main" xmlns="" id="{A4E5B671-BEB4-4B4E-9678-53E65410BC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15360</xdr:colOff>
      <xdr:row>2</xdr:row>
      <xdr:rowOff>10585</xdr:rowOff>
    </xdr:from>
    <xdr:to>
      <xdr:col>4</xdr:col>
      <xdr:colOff>25399</xdr:colOff>
      <xdr:row>9</xdr:row>
      <xdr:rowOff>177800</xdr:rowOff>
    </xdr:to>
    <xdr:graphicFrame macro="">
      <xdr:nvGraphicFramePr>
        <xdr:cNvPr id="3" name="Chart 2">
          <a:extLst>
            <a:ext uri="{FF2B5EF4-FFF2-40B4-BE49-F238E27FC236}">
              <a16:creationId xmlns:a16="http://schemas.microsoft.com/office/drawing/2014/main" xmlns="" id="{9697DE05-A45A-4D59-AB28-3CEFC76A90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1</xdr:colOff>
      <xdr:row>2</xdr:row>
      <xdr:rowOff>12699</xdr:rowOff>
    </xdr:from>
    <xdr:to>
      <xdr:col>11</xdr:col>
      <xdr:colOff>723</xdr:colOff>
      <xdr:row>10</xdr:row>
      <xdr:rowOff>25400</xdr:rowOff>
    </xdr:to>
    <xdr:graphicFrame macro="">
      <xdr:nvGraphicFramePr>
        <xdr:cNvPr id="2" name="Chart 1">
          <a:extLst>
            <a:ext uri="{FF2B5EF4-FFF2-40B4-BE49-F238E27FC236}">
              <a16:creationId xmlns:a16="http://schemas.microsoft.com/office/drawing/2014/main" xmlns="" id="{B693F766-C29D-416D-AAB4-49B64A4023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2</xdr:row>
      <xdr:rowOff>23285</xdr:rowOff>
    </xdr:from>
    <xdr:to>
      <xdr:col>4</xdr:col>
      <xdr:colOff>61383</xdr:colOff>
      <xdr:row>10</xdr:row>
      <xdr:rowOff>12700</xdr:rowOff>
    </xdr:to>
    <xdr:graphicFrame macro="">
      <xdr:nvGraphicFramePr>
        <xdr:cNvPr id="3" name="Chart 2">
          <a:extLst>
            <a:ext uri="{FF2B5EF4-FFF2-40B4-BE49-F238E27FC236}">
              <a16:creationId xmlns:a16="http://schemas.microsoft.com/office/drawing/2014/main" xmlns="" id="{E6396A38-AABC-4B07-A8FC-828E49AE0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28577</xdr:colOff>
      <xdr:row>2</xdr:row>
      <xdr:rowOff>15879</xdr:rowOff>
    </xdr:from>
    <xdr:to>
      <xdr:col>3</xdr:col>
      <xdr:colOff>463550</xdr:colOff>
      <xdr:row>9</xdr:row>
      <xdr:rowOff>152400</xdr:rowOff>
    </xdr:to>
    <xdr:pic>
      <xdr:nvPicPr>
        <xdr:cNvPr id="2" name="Picture 1">
          <a:extLst>
            <a:ext uri="{FF2B5EF4-FFF2-40B4-BE49-F238E27FC236}">
              <a16:creationId xmlns:a16="http://schemas.microsoft.com/office/drawing/2014/main" xmlns="" id="{FFCE7F12-BB62-724F-9315-708A3FA9687B}"/>
            </a:ext>
          </a:extLst>
        </xdr:cNvPr>
        <xdr:cNvPicPr>
          <a:picLocks noChangeAspect="1"/>
        </xdr:cNvPicPr>
      </xdr:nvPicPr>
      <xdr:blipFill>
        <a:blip xmlns:r="http://schemas.openxmlformats.org/officeDocument/2006/relationships" r:embed="rId1"/>
        <a:stretch>
          <a:fillRect/>
        </a:stretch>
      </xdr:blipFill>
      <xdr:spPr>
        <a:xfrm>
          <a:off x="422277" y="638179"/>
          <a:ext cx="4860923" cy="1558921"/>
        </a:xfrm>
        <a:prstGeom prst="rect">
          <a:avLst/>
        </a:prstGeom>
      </xdr:spPr>
    </xdr:pic>
    <xdr:clientData/>
  </xdr:twoCellAnchor>
  <xdr:twoCellAnchor editAs="oneCell">
    <xdr:from>
      <xdr:col>5</xdr:col>
      <xdr:colOff>720812</xdr:colOff>
      <xdr:row>2</xdr:row>
      <xdr:rowOff>12700</xdr:rowOff>
    </xdr:from>
    <xdr:to>
      <xdr:col>10</xdr:col>
      <xdr:colOff>670214</xdr:colOff>
      <xdr:row>9</xdr:row>
      <xdr:rowOff>139699</xdr:rowOff>
    </xdr:to>
    <xdr:pic>
      <xdr:nvPicPr>
        <xdr:cNvPr id="3" name="Picture 2">
          <a:extLst>
            <a:ext uri="{FF2B5EF4-FFF2-40B4-BE49-F238E27FC236}">
              <a16:creationId xmlns:a16="http://schemas.microsoft.com/office/drawing/2014/main" xmlns="" id="{308D178A-5AB9-BF4A-9715-DEC400EDB351}"/>
            </a:ext>
          </a:extLst>
        </xdr:cNvPr>
        <xdr:cNvPicPr>
          <a:picLocks noChangeAspect="1"/>
        </xdr:cNvPicPr>
      </xdr:nvPicPr>
      <xdr:blipFill>
        <a:blip xmlns:r="http://schemas.openxmlformats.org/officeDocument/2006/relationships" r:embed="rId2"/>
        <a:stretch>
          <a:fillRect/>
        </a:stretch>
      </xdr:blipFill>
      <xdr:spPr>
        <a:xfrm>
          <a:off x="6804112" y="635000"/>
          <a:ext cx="3924502" cy="15493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2</xdr:row>
      <xdr:rowOff>12700</xdr:rowOff>
    </xdr:from>
    <xdr:to>
      <xdr:col>11</xdr:col>
      <xdr:colOff>0</xdr:colOff>
      <xdr:row>10</xdr:row>
      <xdr:rowOff>50800</xdr:rowOff>
    </xdr:to>
    <xdr:graphicFrame macro="">
      <xdr:nvGraphicFramePr>
        <xdr:cNvPr id="2" name="Chart 1">
          <a:extLst>
            <a:ext uri="{FF2B5EF4-FFF2-40B4-BE49-F238E27FC236}">
              <a16:creationId xmlns:a16="http://schemas.microsoft.com/office/drawing/2014/main" xmlns="" id="{823A4169-D5E3-4CE7-9028-921775FFD5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31750</xdr:colOff>
      <xdr:row>2</xdr:row>
      <xdr:rowOff>21167</xdr:rowOff>
    </xdr:from>
    <xdr:to>
      <xdr:col>3</xdr:col>
      <xdr:colOff>937139</xdr:colOff>
      <xdr:row>10</xdr:row>
      <xdr:rowOff>31748</xdr:rowOff>
    </xdr:to>
    <xdr:graphicFrame macro="">
      <xdr:nvGraphicFramePr>
        <xdr:cNvPr id="4" name="Chart 3">
          <a:extLst>
            <a:ext uri="{FF2B5EF4-FFF2-40B4-BE49-F238E27FC236}">
              <a16:creationId xmlns:a16="http://schemas.microsoft.com/office/drawing/2014/main" xmlns="" id="{B68E3210-7788-1442-BC72-E5A909746A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id="6" name="Table6" displayName="Table6" ref="B14:G25" totalsRowShown="0" headerRowDxfId="1646" dataDxfId="1644" headerRowBorderDxfId="1645" tableBorderDxfId="1643" headerRowCellStyle="Normal 2">
  <autoFilter ref="B14:G25">
    <filterColumn colId="0" hiddenButton="1"/>
    <filterColumn colId="1" hiddenButton="1"/>
    <filterColumn colId="2" hiddenButton="1"/>
    <filterColumn colId="3" hiddenButton="1"/>
    <filterColumn colId="4" hiddenButton="1"/>
    <filterColumn colId="5" hiddenButton="1"/>
  </autoFilter>
  <tableColumns count="6">
    <tableColumn id="1" name="Summary Indicators" dataDxfId="1642" dataCellStyle="Normal 3"/>
    <tableColumn id="2" name="2016 Census" dataDxfId="1641" dataCellStyle="Comma 3"/>
    <tableColumn id="3" name="% of population" dataDxfId="1640" dataCellStyle="Normal 3"/>
    <tableColumn id="4" name="2011 Census" dataDxfId="1639" dataCellStyle="Comma 3"/>
    <tableColumn id="6" name="Change 2011-2016" dataDxfId="1638">
      <calculatedColumnFormula>Table6[[#This Row],[2016 Census]]-Table6[[#This Row],[2011 Census]]</calculatedColumnFormula>
    </tableColumn>
    <tableColumn id="7" name="% change" dataDxfId="1637">
      <calculatedColumnFormula>(Table6[[#This Row],[2016 Census]]-Table6[[#This Row],[2011 Census]])/Table6[[#This Row],[2011 Census]]</calculatedColumnFormula>
    </tableColumn>
  </tableColumns>
  <tableStyleInfo name="TableStyleMedium5" showFirstColumn="0" showLastColumn="0" showRowStripes="1" showColumnStripes="0"/>
</table>
</file>

<file path=xl/tables/table10.xml><?xml version="1.0" encoding="utf-8"?>
<table xmlns="http://schemas.openxmlformats.org/spreadsheetml/2006/main" id="34" name="Table34" displayName="Table34" ref="B234:J246" totalsRowShown="0" headerRowDxfId="1550" dataDxfId="1548" headerRowBorderDxfId="1549" tableBorderDxfId="1547" headerRowCellStyle="Normal 3" dataCellStyle="Comma 3">
  <autoFilter ref="B234:J246"/>
  <tableColumns count="9">
    <tableColumn id="1" name="Religion" dataDxfId="1546" dataCellStyle="rowfield"/>
    <tableColumn id="2" name="Australia" dataDxfId="1545" dataCellStyle="Comma 3"/>
    <tableColumn id="3" name="Overseas" dataDxfId="1544" dataCellStyle="Comma 3"/>
    <tableColumn id="4" name="Not stated" dataDxfId="1543" dataCellStyle="Comma 3"/>
    <tableColumn id="5" name="0-14" dataDxfId="1542" dataCellStyle="Comma 3"/>
    <tableColumn id="6" name="15-24" dataDxfId="1541" dataCellStyle="Comma 3"/>
    <tableColumn id="7" name="25-44" dataDxfId="1540" dataCellStyle="Comma 3"/>
    <tableColumn id="8" name="45-64" dataDxfId="1539" dataCellStyle="Comma 3"/>
    <tableColumn id="9" name="65+" dataDxfId="1538" dataCellStyle="Comma 3"/>
  </tableColumns>
  <tableStyleInfo name="TableStyleMedium5" showFirstColumn="0" showLastColumn="0" showRowStripes="1" showColumnStripes="0"/>
</table>
</file>

<file path=xl/tables/table100.xml><?xml version="1.0" encoding="utf-8"?>
<table xmlns="http://schemas.openxmlformats.org/spreadsheetml/2006/main" id="128" name="Table4791113157212579399117129" displayName="Table4791113157212579399117129" ref="B14:G25" totalsRowShown="0" headerRowDxfId="266" dataDxfId="265" tableBorderDxfId="264">
  <autoFilter ref="B14:G25">
    <filterColumn colId="0" hiddenButton="1"/>
    <filterColumn colId="1" hiddenButton="1"/>
    <filterColumn colId="2" hiddenButton="1"/>
    <filterColumn colId="3" hiddenButton="1"/>
    <filterColumn colId="4" hiddenButton="1"/>
    <filterColumn colId="5" hiddenButton="1"/>
  </autoFilter>
  <tableColumns count="6">
    <tableColumn id="1" name="Summary indicators" dataDxfId="263"/>
    <tableColumn id="2" name="Persons" dataDxfId="262"/>
    <tableColumn id="8" name="% of population" dataDxfId="261">
      <calculatedColumnFormula>(C15/$C$15)</calculatedColumnFormula>
    </tableColumn>
    <tableColumn id="9" name="2011 Census" dataDxfId="260"/>
    <tableColumn id="10" name="Change 2011-2016" dataDxfId="259">
      <calculatedColumnFormula>(Table4791113157212579399117129[[#This Row],[Persons]]-Table4791113157212579399117129[[#This Row],[2011 Census]])</calculatedColumnFormula>
    </tableColumn>
    <tableColumn id="11" name="% change" dataDxfId="258">
      <calculatedColumnFormula>IFERROR(Table4791113157212579399117129[[#This Row],[Change 2011-2016]]/Table4791113157212579399117129[[#This Row],[2011 Census]],"..")</calculatedColumnFormula>
    </tableColumn>
  </tableColumns>
  <tableStyleInfo name="TableStyleLight1" showFirstColumn="0" showLastColumn="0" showRowStripes="1" showColumnStripes="0"/>
</table>
</file>

<file path=xl/tables/table101.xml><?xml version="1.0" encoding="utf-8"?>
<table xmlns="http://schemas.openxmlformats.org/spreadsheetml/2006/main" id="129" name="Table792226894100118130" displayName="Table792226894100118130" ref="B117:H129" totalsRowCount="1" headerRowDxfId="257" dataDxfId="255" totalsRowDxfId="253" headerRowBorderDxfId="256" tableBorderDxfId="254">
  <autoFilter ref="B117:H128">
    <filterColumn colId="0" hiddenButton="1"/>
    <filterColumn colId="1" hiddenButton="1"/>
    <filterColumn colId="2" hiddenButton="1"/>
    <filterColumn colId="3" hiddenButton="1"/>
    <filterColumn colId="4" hiddenButton="1"/>
    <filterColumn colId="5" hiddenButton="1"/>
    <filterColumn colId="6" hiddenButton="1"/>
  </autoFilter>
  <sortState ref="B118:H128">
    <sortCondition descending="1" ref="E117:E128"/>
  </sortState>
  <tableColumns count="7">
    <tableColumn id="1" name="Language" totalsRowLabel="Total LOTE speakers (b)" dataDxfId="252" totalsRowDxfId="251"/>
    <tableColumn id="2" name="Males" totalsRowLabel="10" dataDxfId="250" totalsRowDxfId="249" dataCellStyle="Normal 2"/>
    <tableColumn id="3" name="Females" totalsRowLabel="12" dataDxfId="248" totalsRowDxfId="247" dataCellStyle="Normal 2"/>
    <tableColumn id="4" name="Persons" totalsRowLabel="23" dataDxfId="246" totalsRowDxfId="245" dataCellStyle="Normal 2"/>
    <tableColumn id="5" name="% of LOTE speakers" totalsRowLabel="100%" dataDxfId="244" totalsRowDxfId="243" dataCellStyle="Normal 2">
      <calculatedColumnFormula>IFERROR((Table792226894100118130[[#This Row],[Persons]]/$C$23),"..")</calculatedColumnFormula>
    </tableColumn>
    <tableColumn id="6" name="2011 Census" totalsRowLabel="6" dataDxfId="242" totalsRowDxfId="241" dataCellStyle="Normal 2"/>
    <tableColumn id="8" name="% change 2011-2016" totalsRowFunction="custom" dataDxfId="240" totalsRowDxfId="239" dataCellStyle="Percent">
      <calculatedColumnFormula>IFERROR((E118-G118)/G118,"..")</calculatedColumnFormula>
      <totalsRowFormula>(Table792226894100118130[[#Totals],[Persons]]-G129)/G129</totalsRowFormula>
    </tableColumn>
  </tableColumns>
  <tableStyleInfo name="TableStyleLight1" showFirstColumn="0" showLastColumn="0" showRowStripes="1" showColumnStripes="0"/>
</table>
</file>

<file path=xl/tables/table102.xml><?xml version="1.0" encoding="utf-8"?>
<table xmlns="http://schemas.openxmlformats.org/spreadsheetml/2006/main" id="130" name="Table3102327995101119131" displayName="Table3102327995101119131" ref="B169:I179" totalsRowShown="0" headerRowDxfId="238" dataDxfId="237">
  <autoFilter ref="B169:I17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0" name="Ancestry (c)" dataDxfId="236" dataCellStyle="Normal 2"/>
    <tableColumn id="9" name="Both parents born in Australia" dataDxfId="235" dataCellStyle="Normal 2"/>
    <tableColumn id="2" name="Both parents born overseas" dataDxfId="234" dataCellStyle="Normal 2"/>
    <tableColumn id="3" name="One parent OSB/one parent Aust born" dataDxfId="233" dataCellStyle="Normal 2"/>
    <tableColumn id="4" name="Not stated - Birthplace for either or both parents not stated" dataDxfId="232" dataCellStyle="Normal 2"/>
    <tableColumn id="5" name=" " dataDxfId="231" dataCellStyle="Normal 2"/>
    <tableColumn id="6" name="  " dataDxfId="230" dataCellStyle="Normal 2"/>
    <tableColumn id="7" name="   " dataDxfId="229" dataCellStyle="Normal 2"/>
  </tableColumns>
  <tableStyleInfo name="TableStyleLight1" showFirstColumn="0" showLastColumn="0" showRowStripes="1" showColumnStripes="0"/>
</table>
</file>

<file path=xl/tables/table103.xml><?xml version="1.0" encoding="utf-8"?>
<table xmlns="http://schemas.openxmlformats.org/spreadsheetml/2006/main" id="132" name="Table79222681297103121133" displayName="Table79222681297103121133" ref="B210:J233" totalsRowCount="1" headerRowDxfId="228" dataDxfId="226" totalsRowDxfId="224" headerRowBorderDxfId="227" tableBorderDxfId="225">
  <autoFilter ref="B210:J2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sortState ref="B211:I230">
    <sortCondition descending="1" ref="E117:E128"/>
  </sortState>
  <tableColumns count="9">
    <tableColumn id="1" name="Religion" totalsRowLabel="Total persons" dataDxfId="223" totalsRowDxfId="222"/>
    <tableColumn id="2" name="Birthplace Australia" totalsRowFunction="custom" dataDxfId="221" totalsRowDxfId="220">
      <totalsRowFormula>C16</totalsRowFormula>
    </tableColumn>
    <tableColumn id="3" name="Overseas" totalsRowFunction="custom" dataDxfId="219" totalsRowDxfId="218">
      <totalsRowFormula>C17</totalsRowFormula>
    </tableColumn>
    <tableColumn id="4" name="Not stated" totalsRowFunction="custom" dataDxfId="217" totalsRowDxfId="216">
      <totalsRowFormula>C18</totalsRowFormula>
    </tableColumn>
    <tableColumn id="5" name="Age 01-14" totalsRowLabel="67" dataDxfId="215" totalsRowDxfId="214" dataCellStyle="Normal 2"/>
    <tableColumn id="6" name="15-24" totalsRowLabel="29" dataDxfId="213" totalsRowDxfId="212" dataCellStyle="Normal 2"/>
    <tableColumn id="7" name="25-44" totalsRowLabel="100" dataDxfId="211" totalsRowDxfId="210" dataCellStyle="Normal 2"/>
    <tableColumn id="8" name="56-64" totalsRowLabel="189" dataDxfId="209" totalsRowDxfId="208" dataCellStyle="Percent 2"/>
    <tableColumn id="9" name="65+" totalsRowLabel="77" dataDxfId="207" totalsRowDxfId="206" dataCellStyle="Normal 2"/>
  </tableColumns>
  <tableStyleInfo name="TableStyleLight1" showFirstColumn="0" showLastColumn="0" showRowStripes="1" showColumnStripes="0"/>
</table>
</file>

<file path=xl/tables/table104.xml><?xml version="1.0" encoding="utf-8"?>
<table xmlns="http://schemas.openxmlformats.org/spreadsheetml/2006/main" id="14" name="Table7922268119610210811410111415" displayName="Table7922268119610210811410111415" ref="B183:I206" totalsRowCount="1" headerRowDxfId="205" dataDxfId="203" totalsRowDxfId="201" headerRowBorderDxfId="204" tableBorderDxfId="202">
  <autoFilter ref="B183:I20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sortState ref="B184:I205">
    <sortCondition descending="1" ref="E117:E128"/>
  </sortState>
  <tableColumns count="8">
    <tableColumn id="1" name="Religion" totalsRowLabel="Total persons" dataDxfId="200" totalsRowDxfId="199"/>
    <tableColumn id="2" name="Males" totalsRowLabel="235" dataDxfId="198" totalsRowDxfId="197"/>
    <tableColumn id="3" name="Females" totalsRowLabel="222" dataDxfId="196" totalsRowDxfId="195"/>
    <tableColumn id="4" name="Persons" totalsRowFunction="custom" dataDxfId="194" totalsRowDxfId="193">
      <totalsRowFormula>C15</totalsRowFormula>
    </tableColumn>
    <tableColumn id="5" name="% of population" totalsRowLabel="100%" dataDxfId="192" totalsRowDxfId="191">
      <calculatedColumnFormula>(Table7922268119610210811410111415[[#This Row],[Persons]]/$C$15)</calculatedColumnFormula>
    </tableColumn>
    <tableColumn id="6" name="2011 Census" totalsRowFunction="custom" dataDxfId="190" totalsRowDxfId="189">
      <totalsRowFormula>E15</totalsRowFormula>
    </tableColumn>
    <tableColumn id="7" name="Change 2011-2016" totalsRowFunction="custom" dataDxfId="188" totalsRowDxfId="187">
      <calculatedColumnFormula>IFERROR(Table7922268119610210811410111415[[#This Row],[Persons]]-Table7922268119610210811410111415[[#This Row],[2011 Census]],"..")</calculatedColumnFormula>
      <totalsRowFormula>SUM(Table7922268119610210811410111415[[#Totals],[Persons]]-Table7922268119610210811410111415[[#Totals],[2011 Census]])</totalsRowFormula>
    </tableColumn>
    <tableColumn id="8" name="% change" totalsRowFunction="custom" dataDxfId="186" totalsRowDxfId="185">
      <calculatedColumnFormula>IFERROR((Table7922268119610210811410111415[[#This Row],[Persons]]-Table7922268119610210811410111415[[#This Row],[2011 Census]])/Table7922268119610210811410111415[[#This Row],[2011 Census]],"..")</calculatedColumnFormula>
      <totalsRowFormula>SUM((Table7922268119610210811410111415[[#Totals],[Persons]]-Table7922268119610210811410111415[[#Totals],[2011 Census]])/Table7922268119610210811410111415[[#Totals],[2011 Census]])</totalsRowFormula>
    </tableColumn>
  </tableColumns>
  <tableStyleInfo name="TableStyleLight1" showFirstColumn="0" showLastColumn="0" showRowStripes="1" showColumnStripes="0"/>
</table>
</file>

<file path=xl/tables/table105.xml><?xml version="1.0" encoding="utf-8"?>
<table xmlns="http://schemas.openxmlformats.org/spreadsheetml/2006/main" id="133" name="Table55202469298116128134" displayName="Table55202469298116128134" ref="B30:H42" totalsRowShown="0" headerRowDxfId="184" dataDxfId="183" totalsRowDxfId="181" tableBorderDxfId="182">
  <autoFilter ref="B30:H42">
    <filterColumn colId="0" hiddenButton="1"/>
    <filterColumn colId="1" hiddenButton="1"/>
    <filterColumn colId="2" hiddenButton="1"/>
    <filterColumn colId="3" hiddenButton="1"/>
    <filterColumn colId="4" hiddenButton="1"/>
    <filterColumn colId="5" hiddenButton="1"/>
    <filterColumn colId="6" hiddenButton="1"/>
  </autoFilter>
  <sortState ref="B31:H40">
    <sortCondition descending="1" ref="E30:E40"/>
  </sortState>
  <tableColumns count="7">
    <tableColumn id="1" name="Birthplace" dataDxfId="180"/>
    <tableColumn id="12" name="Males 2016" dataDxfId="179"/>
    <tableColumn id="15" name="Females 2016" dataDxfId="178"/>
    <tableColumn id="16" name="Persons 2016" dataDxfId="177"/>
    <tableColumn id="5" name="% of OSB" dataDxfId="176">
      <calculatedColumnFormula>(Table55202469298116128134[[#This Row],[Persons 2016]]/$C$17)</calculatedColumnFormula>
    </tableColumn>
    <tableColumn id="27" name="Persons 2011" dataDxfId="175"/>
    <tableColumn id="8" name="% Change 2011-2016" dataDxfId="174">
      <calculatedColumnFormula>IFERROR((Table55202469298116128134[[#This Row],[Persons 2016]]-Table55202469298116128134[[#This Row],[Persons 2011]])/Table55202469298116128134[[#This Row],[Persons 2011]],"..")</calculatedColumnFormula>
    </tableColumn>
  </tableColumns>
  <tableStyleInfo name="TableStyleLight1" showFirstColumn="0" showLastColumn="0" showRowStripes="1" showColumnStripes="0"/>
</table>
</file>

<file path=xl/tables/table106.xml><?xml version="1.0" encoding="utf-8"?>
<table xmlns="http://schemas.openxmlformats.org/spreadsheetml/2006/main" id="134" name="Table4791113157212579399117129135" displayName="Table4791113157212579399117129135" ref="B14:G25" totalsRowShown="0" headerRowDxfId="173" dataDxfId="172" tableBorderDxfId="171">
  <autoFilter ref="B14:G25">
    <filterColumn colId="0" hiddenButton="1"/>
    <filterColumn colId="1" hiddenButton="1"/>
    <filterColumn colId="2" hiddenButton="1"/>
    <filterColumn colId="3" hiddenButton="1"/>
    <filterColumn colId="4" hiddenButton="1"/>
    <filterColumn colId="5" hiddenButton="1"/>
  </autoFilter>
  <tableColumns count="6">
    <tableColumn id="1" name="Summary indicators" dataDxfId="170"/>
    <tableColumn id="2" name="Persons" dataDxfId="169"/>
    <tableColumn id="8" name="% of population" dataDxfId="168">
      <calculatedColumnFormula>(C15/$C$15)</calculatedColumnFormula>
    </tableColumn>
    <tableColumn id="9" name="2011 Census" dataDxfId="167"/>
    <tableColumn id="10" name="Change 2011-2016" dataDxfId="166">
      <calculatedColumnFormula>(Table4791113157212579399117129135[[#This Row],[Persons]]-Table4791113157212579399117129135[[#This Row],[2011 Census]])</calculatedColumnFormula>
    </tableColumn>
    <tableColumn id="11" name="% change" dataDxfId="165">
      <calculatedColumnFormula>(Table4791113157212579399117129135[[#This Row],[Change 2011-2016]]/Table4791113157212579399117129135[[#This Row],[2011 Census]])</calculatedColumnFormula>
    </tableColumn>
  </tableColumns>
  <tableStyleInfo name="TableStyleLight1" showFirstColumn="0" showLastColumn="0" showRowStripes="1" showColumnStripes="0"/>
</table>
</file>

<file path=xl/tables/table107.xml><?xml version="1.0" encoding="utf-8"?>
<table xmlns="http://schemas.openxmlformats.org/spreadsheetml/2006/main" id="135" name="Table792226894100118130136" displayName="Table792226894100118130136" ref="B117:H129" totalsRowCount="1" headerRowDxfId="164" dataDxfId="162" totalsRowDxfId="160" headerRowBorderDxfId="163" tableBorderDxfId="161">
  <autoFilter ref="B117:H128">
    <filterColumn colId="0" hiddenButton="1"/>
    <filterColumn colId="1" hiddenButton="1"/>
    <filterColumn colId="2" hiddenButton="1"/>
    <filterColumn colId="3" hiddenButton="1"/>
    <filterColumn colId="4" hiddenButton="1"/>
    <filterColumn colId="5" hiddenButton="1"/>
    <filterColumn colId="6" hiddenButton="1"/>
  </autoFilter>
  <sortState ref="B118:H128">
    <sortCondition descending="1" ref="E117:E128"/>
  </sortState>
  <tableColumns count="7">
    <tableColumn id="1" name="Language" totalsRowLabel="Total LOTE speakers (b)" dataDxfId="159" totalsRowDxfId="158"/>
    <tableColumn id="2" name="Males" totalsRowLabel="2138" dataDxfId="157" totalsRowDxfId="156" dataCellStyle="Normal 2"/>
    <tableColumn id="3" name="Females" totalsRowLabel="2122" dataDxfId="155" totalsRowDxfId="154" dataCellStyle="Normal 2"/>
    <tableColumn id="4" name="Persons" totalsRowLabel="4,259" dataDxfId="153" totalsRowDxfId="152" dataCellStyle="Normal 2"/>
    <tableColumn id="5" name="% of LOTE speakers" totalsRowLabel="100%" dataDxfId="151" totalsRowDxfId="150" dataCellStyle="Normal 2">
      <calculatedColumnFormula>IFERROR(Table792226894100118130136[[#This Row],[Persons]]/$C$23,"-")</calculatedColumnFormula>
    </tableColumn>
    <tableColumn id="6" name="2011 Census" totalsRowFunction="custom" dataDxfId="149" totalsRowDxfId="148" dataCellStyle="Normal 2">
      <totalsRowFormula>E23</totalsRowFormula>
    </tableColumn>
    <tableColumn id="8" name="% change 2011-2016" totalsRowFunction="custom" dataDxfId="147" totalsRowDxfId="146" dataCellStyle="Percent 2">
      <calculatedColumnFormula>IFERROR((E118-G118)/G118,"..")</calculatedColumnFormula>
      <totalsRowFormula>(Table792226894100118130136[[#Totals],[Persons]]-Table792226894100118130136[[#Totals],[2011 Census]])/Table792226894100118130136[[#Totals],[2011 Census]]</totalsRowFormula>
    </tableColumn>
  </tableColumns>
  <tableStyleInfo name="TableStyleLight1" showFirstColumn="0" showLastColumn="0" showRowStripes="1" showColumnStripes="0"/>
</table>
</file>

<file path=xl/tables/table108.xml><?xml version="1.0" encoding="utf-8"?>
<table xmlns="http://schemas.openxmlformats.org/spreadsheetml/2006/main" id="136" name="Table3102327995101119131137" displayName="Table3102327995101119131137" ref="B169:I179" totalsRowShown="0" headerRowDxfId="145" dataDxfId="144">
  <autoFilter ref="B169:I17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0" name="Ancestry (c)" dataDxfId="143" dataCellStyle="Normal 2"/>
    <tableColumn id="9" name="Both parents born in Australia" dataDxfId="142" dataCellStyle="Normal 2"/>
    <tableColumn id="2" name="Both parents born overseas" dataDxfId="141" dataCellStyle="Normal 2"/>
    <tableColumn id="3" name="One parent OSB/one parent Aust born" dataDxfId="140" dataCellStyle="Normal 2"/>
    <tableColumn id="4" name="Not stated - Birthplace for either or both parents not stated" dataDxfId="139" dataCellStyle="Normal 2"/>
    <tableColumn id="5" name=" " dataDxfId="138" dataCellStyle="Normal 2"/>
    <tableColumn id="6" name="    " dataDxfId="137" dataCellStyle="Normal 2"/>
    <tableColumn id="7" name="     " dataDxfId="136" dataCellStyle="Normal 2"/>
  </tableColumns>
  <tableStyleInfo name="TableStyleLight1" showFirstColumn="0" showLastColumn="0" showRowStripes="1" showColumnStripes="0"/>
</table>
</file>

<file path=xl/tables/table109.xml><?xml version="1.0" encoding="utf-8"?>
<table xmlns="http://schemas.openxmlformats.org/spreadsheetml/2006/main" id="138" name="Table79222681297103121133139" displayName="Table79222681297103121133139" ref="B210:J233" totalsRowCount="1" headerRowDxfId="135" dataDxfId="133" totalsRowDxfId="131" headerRowBorderDxfId="134" tableBorderDxfId="132">
  <autoFilter ref="B210:J2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sortState ref="B211:I230">
    <sortCondition descending="1" ref="E117:E128"/>
  </sortState>
  <tableColumns count="9">
    <tableColumn id="1" name="Religion" totalsRowLabel="Total persons" dataDxfId="130" totalsRowDxfId="129"/>
    <tableColumn id="2" name="Birthplace Australia" totalsRowFunction="custom" dataDxfId="128" totalsRowDxfId="127">
      <totalsRowFormula>C16</totalsRowFormula>
    </tableColumn>
    <tableColumn id="3" name="Overseas" totalsRowFunction="custom" dataDxfId="126" totalsRowDxfId="125">
      <totalsRowFormula>C17</totalsRowFormula>
    </tableColumn>
    <tableColumn id="4" name="Not stated" totalsRowFunction="custom" dataDxfId="124" totalsRowDxfId="123">
      <totalsRowFormula>C18</totalsRowFormula>
    </tableColumn>
    <tableColumn id="5" name="Age 01-14" totalsRowFunction="custom" dataDxfId="122" totalsRowDxfId="121">
      <totalsRowFormula>SUM(Table79222681297103121133139[Age 01-14])</totalsRowFormula>
    </tableColumn>
    <tableColumn id="6" name="15-24" totalsRowFunction="custom" dataDxfId="120" totalsRowDxfId="119">
      <totalsRowFormula>SUM(Table79222681297103121133139[15-24])</totalsRowFormula>
    </tableColumn>
    <tableColumn id="7" name="25-44" totalsRowFunction="custom" dataDxfId="118" totalsRowDxfId="117">
      <totalsRowFormula>SUM(Table79222681297103121133139[25-44])</totalsRowFormula>
    </tableColumn>
    <tableColumn id="8" name="56-64" totalsRowFunction="custom" dataDxfId="116" totalsRowDxfId="115">
      <totalsRowFormula>SUM(Table79222681297103121133139[56-64])</totalsRowFormula>
    </tableColumn>
    <tableColumn id="9" name="65+" totalsRowFunction="custom" dataDxfId="114" totalsRowDxfId="113" dataCellStyle="Normal 2">
      <totalsRowFormula>SUM(Table79222681297103121133139[65+])</totalsRowFormula>
    </tableColumn>
  </tableColumns>
  <tableStyleInfo name="TableStyleLight1" showFirstColumn="0" showLastColumn="0" showRowStripes="1" showColumnStripes="0"/>
</table>
</file>

<file path=xl/tables/table11.xml><?xml version="1.0" encoding="utf-8"?>
<table xmlns="http://schemas.openxmlformats.org/spreadsheetml/2006/main" id="19" name="Table552024620" displayName="Table552024620" ref="B30:H52" totalsRowShown="0" headerRowDxfId="1537" dataDxfId="1536" totalsRowDxfId="1534" tableBorderDxfId="1535">
  <autoFilter ref="B30:H52">
    <filterColumn colId="0" hiddenButton="1"/>
    <filterColumn colId="1" hiddenButton="1"/>
    <filterColumn colId="2" hiddenButton="1"/>
    <filterColumn colId="3" hiddenButton="1"/>
    <filterColumn colId="4" hiddenButton="1"/>
    <filterColumn colId="5" hiddenButton="1"/>
    <filterColumn colId="6" hiddenButton="1"/>
  </autoFilter>
  <sortState ref="B31:H50">
    <sortCondition descending="1" ref="E30:E50"/>
  </sortState>
  <tableColumns count="7">
    <tableColumn id="1" name="Birthplace" dataDxfId="1533"/>
    <tableColumn id="12" name="Males 2016" dataDxfId="1532"/>
    <tableColumn id="15" name="Females 2016" dataDxfId="1531"/>
    <tableColumn id="16" name="Persons 2016" dataDxfId="1530"/>
    <tableColumn id="5" name="% of OSB" dataDxfId="1529">
      <calculatedColumnFormula>(Table552024620[[#This Row],[Persons 2016]]/$C$17)</calculatedColumnFormula>
    </tableColumn>
    <tableColumn id="27" name="Persons 2011" dataDxfId="1528"/>
    <tableColumn id="8" name="% Change 2011-2016" dataDxfId="1527">
      <calculatedColumnFormula>SUM((Table552024620[[#This Row],[Persons 2016]]-Table552024620[[#This Row],[Persons 2011]])/Table552024620[[#This Row],[Persons 2011]])</calculatedColumnFormula>
    </tableColumn>
  </tableColumns>
  <tableStyleInfo name="TableStyleLight1" showFirstColumn="0" showLastColumn="0" showRowStripes="1" showColumnStripes="0"/>
</table>
</file>

<file path=xl/tables/table110.xml><?xml version="1.0" encoding="utf-8"?>
<table xmlns="http://schemas.openxmlformats.org/spreadsheetml/2006/main" id="16" name="Table792226811961021081141011141517" displayName="Table792226811961021081141011141517" ref="B183:I206" totalsRowCount="1" headerRowDxfId="112" dataDxfId="110" totalsRowDxfId="108" headerRowBorderDxfId="111" tableBorderDxfId="109">
  <autoFilter ref="B183:I20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sortState ref="B184:I205">
    <sortCondition descending="1" ref="E117:E127"/>
  </sortState>
  <tableColumns count="8">
    <tableColumn id="1" name="Religion" totalsRowLabel="Total persons" dataDxfId="107" totalsRowDxfId="106"/>
    <tableColumn id="2" name="Males" totalsRowLabel="3157" dataDxfId="105" totalsRowDxfId="104" dataCellStyle="Normal 2"/>
    <tableColumn id="3" name="Females" totalsRowLabel="3033" dataDxfId="103" totalsRowDxfId="102" dataCellStyle="Normal 2"/>
    <tableColumn id="4" name="Persons" totalsRowFunction="custom" dataDxfId="101" totalsRowDxfId="100">
      <totalsRowFormula>C15</totalsRowFormula>
    </tableColumn>
    <tableColumn id="5" name="% of population" totalsRowLabel="100%" dataDxfId="99" totalsRowDxfId="98">
      <calculatedColumnFormula>IFERROR(Table792226811961021081141011141517[[#This Row],[Persons]]/$C$15,"..")</calculatedColumnFormula>
    </tableColumn>
    <tableColumn id="6" name="2011 Census" totalsRowFunction="custom" dataDxfId="97" totalsRowDxfId="96">
      <totalsRowFormula>E15</totalsRowFormula>
    </tableColumn>
    <tableColumn id="7" name="Change 2011-2016" totalsRowFunction="custom" dataDxfId="95" totalsRowDxfId="94">
      <calculatedColumnFormula>IFERROR(Table792226811961021081141011141517[[#This Row],[Persons]]-Table792226811961021081141011141517[[#This Row],[2011 Census]],"..")</calculatedColumnFormula>
      <totalsRowFormula>SUM(Table792226811961021081141011141517[[#Totals],[Persons]]-Table792226811961021081141011141517[[#Totals],[2011 Census]])</totalsRowFormula>
    </tableColumn>
    <tableColumn id="8" name="% change" totalsRowFunction="custom" dataDxfId="93" totalsRowDxfId="92">
      <calculatedColumnFormula>IFERROR((Table792226811961021081141011141517[[#This Row],[Persons]]-Table792226811961021081141011141517[[#This Row],[2011 Census]])/Table792226811961021081141011141517[[#This Row],[2011 Census]],"..")</calculatedColumnFormula>
      <totalsRowFormula>SUM((Table792226811961021081141011141517[[#Totals],[Persons]]-Table792226811961021081141011141517[[#Totals],[2011 Census]])/Table792226811961021081141011141517[[#Totals],[2011 Census]])</totalsRowFormula>
    </tableColumn>
  </tableColumns>
  <tableStyleInfo name="TableStyleLight1" showFirstColumn="0" showLastColumn="0" showRowStripes="1" showColumnStripes="0"/>
</table>
</file>

<file path=xl/tables/table111.xml><?xml version="1.0" encoding="utf-8"?>
<table xmlns="http://schemas.openxmlformats.org/spreadsheetml/2006/main" id="139" name="Table55202469298116128134140" displayName="Table55202469298116128134140" ref="B30:H41" totalsRowShown="0" headerRowDxfId="91" dataDxfId="90" totalsRowDxfId="89" dataCellStyle="Normal 2">
  <autoFilter ref="B30:H41">
    <filterColumn colId="0" hiddenButton="1"/>
    <filterColumn colId="1" hiddenButton="1"/>
    <filterColumn colId="2" hiddenButton="1"/>
    <filterColumn colId="3" hiddenButton="1"/>
    <filterColumn colId="4" hiddenButton="1"/>
    <filterColumn colId="5" hiddenButton="1"/>
    <filterColumn colId="6" hiddenButton="1"/>
  </autoFilter>
  <sortState ref="B30:H31">
    <sortCondition descending="1" ref="E30"/>
  </sortState>
  <tableColumns count="7">
    <tableColumn id="1" name="Birthplace" dataDxfId="88" dataCellStyle="Normal 2"/>
    <tableColumn id="12" name="Males 2016" dataDxfId="87" dataCellStyle="Normal 2"/>
    <tableColumn id="15" name="Females 2016" dataDxfId="86" dataCellStyle="Normal 2"/>
    <tableColumn id="16" name="Persons 2016" dataDxfId="85" dataCellStyle="Normal 2"/>
    <tableColumn id="5" name="% of OSB" dataDxfId="84" dataCellStyle="Normal 2"/>
    <tableColumn id="27" name="Persons 2011" dataDxfId="83" dataCellStyle="Normal 2"/>
    <tableColumn id="8" name="% Change 2011-2016" dataDxfId="82" dataCellStyle="Normal 2"/>
  </tableColumns>
  <tableStyleInfo name="TableStyleLight1" showFirstColumn="0" showLastColumn="0" showRowStripes="1" showColumnStripes="0"/>
</table>
</file>

<file path=xl/tables/table112.xml><?xml version="1.0" encoding="utf-8"?>
<table xmlns="http://schemas.openxmlformats.org/spreadsheetml/2006/main" id="140" name="Table4791113157212579399117129135141" displayName="Table4791113157212579399117129135141" ref="B14:G25" totalsRowShown="0" headerRowDxfId="81" dataDxfId="80" tableBorderDxfId="79">
  <autoFilter ref="B14:G25">
    <filterColumn colId="0" hiddenButton="1"/>
    <filterColumn colId="1" hiddenButton="1"/>
    <filterColumn colId="2" hiddenButton="1"/>
    <filterColumn colId="3" hiddenButton="1"/>
    <filterColumn colId="4" hiddenButton="1"/>
    <filterColumn colId="5" hiddenButton="1"/>
  </autoFilter>
  <tableColumns count="6">
    <tableColumn id="1" name="Summary indicators" dataDxfId="78"/>
    <tableColumn id="2" name="Persons" dataDxfId="77"/>
    <tableColumn id="8" name="% of population" dataDxfId="76">
      <calculatedColumnFormula>(C15/$C$15)</calculatedColumnFormula>
    </tableColumn>
    <tableColumn id="9" name="2011 Census" dataDxfId="75"/>
    <tableColumn id="10" name="Change 2011-2016" dataDxfId="74" dataCellStyle="Normal 2"/>
    <tableColumn id="11" name="% change" dataDxfId="73" dataCellStyle="Normal 2"/>
  </tableColumns>
  <tableStyleInfo name="TableStyleLight1" showFirstColumn="0" showLastColumn="0" showRowStripes="1" showColumnStripes="0"/>
</table>
</file>

<file path=xl/tables/table113.xml><?xml version="1.0" encoding="utf-8"?>
<table xmlns="http://schemas.openxmlformats.org/spreadsheetml/2006/main" id="141" name="Table792226894100118130136142" displayName="Table792226894100118130136142" ref="B119:H131" totalsRowCount="1" headerRowDxfId="72" dataDxfId="70" totalsRowDxfId="68" headerRowBorderDxfId="71" tableBorderDxfId="69">
  <autoFilter ref="B119:H130"/>
  <sortState ref="B120:H130">
    <sortCondition descending="1" ref="E119:E130"/>
  </sortState>
  <tableColumns count="7">
    <tableColumn id="1" name="Language" totalsRowLabel="Total LOTE speakers (b)" dataDxfId="67" totalsRowDxfId="66"/>
    <tableColumn id="2" name="Males" totalsRowLabel="1242" dataDxfId="65" totalsRowDxfId="64" dataCellStyle="Normal 2"/>
    <tableColumn id="3" name="Females" totalsRowLabel="1296" dataDxfId="63" totalsRowDxfId="62" dataCellStyle="Normal 2"/>
    <tableColumn id="4" name="Persons" totalsRowLabel="2,543" dataDxfId="61" totalsRowDxfId="60" dataCellStyle="Normal 2"/>
    <tableColumn id="5" name="% of LOTE speakers" totalsRowLabel="100%" dataDxfId="59" totalsRowDxfId="58" dataCellStyle="Percent 2">
      <calculatedColumnFormula>IFERROR(Table792226894100118130136142[[#This Row],[Persons]]/$C$23,"..")</calculatedColumnFormula>
    </tableColumn>
    <tableColumn id="6" name="2011 Census" totalsRowFunction="custom" dataDxfId="57" totalsRowDxfId="56" dataCellStyle="Normal 2">
      <totalsRowFormula>E23</totalsRowFormula>
    </tableColumn>
    <tableColumn id="8" name="% change 2011-2016" totalsRowLabel=".." dataDxfId="55" totalsRowDxfId="54" dataCellStyle="Percent 2">
      <calculatedColumnFormula>IFERROR(((E120-G120)/G120),"..")</calculatedColumnFormula>
    </tableColumn>
  </tableColumns>
  <tableStyleInfo name="TableStyleLight1" showFirstColumn="0" showLastColumn="0" showRowStripes="1" showColumnStripes="0"/>
</table>
</file>

<file path=xl/tables/table114.xml><?xml version="1.0" encoding="utf-8"?>
<table xmlns="http://schemas.openxmlformats.org/spreadsheetml/2006/main" id="142" name="Table3102327995101119131137143" displayName="Table3102327995101119131137143" ref="B171:I181" totalsRowShown="0" headerRowDxfId="53" dataDxfId="52">
  <autoFilter ref="B171:I18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0" name="Ancestry (c)" dataDxfId="51" dataCellStyle="Normal 2"/>
    <tableColumn id="9" name="Both parents born in Australia" dataDxfId="50" dataCellStyle="Normal 2"/>
    <tableColumn id="2" name="Both parents born overseas" dataDxfId="49" dataCellStyle="Normal 2"/>
    <tableColumn id="3" name="One parent OSB/one parent Aust born" dataDxfId="48" dataCellStyle="Normal 2"/>
    <tableColumn id="4" name="Not stated - Birthplace for either or both parents not stated" dataDxfId="47" dataCellStyle="Normal 2"/>
    <tableColumn id="5" name=" " dataDxfId="46" dataCellStyle="Normal 2"/>
    <tableColumn id="6" name="   " dataDxfId="45" dataCellStyle="Normal 2"/>
    <tableColumn id="7" name="    " dataDxfId="44" dataCellStyle="Normal 2"/>
  </tableColumns>
  <tableStyleInfo name="TableStyleLight1" showFirstColumn="0" showLastColumn="0" showRowStripes="1" showColumnStripes="0"/>
</table>
</file>

<file path=xl/tables/table115.xml><?xml version="1.0" encoding="utf-8"?>
<table xmlns="http://schemas.openxmlformats.org/spreadsheetml/2006/main" id="144" name="Table79222681297103121133139145" displayName="Table79222681297103121133139145" ref="B212:J235" totalsRowCount="1" headerRowDxfId="43" dataDxfId="41" totalsRowDxfId="39" headerRowBorderDxfId="42" tableBorderDxfId="40">
  <autoFilter ref="B212:J2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sortState ref="B213:I232">
    <sortCondition descending="1" ref="E119:E130"/>
  </sortState>
  <tableColumns count="9">
    <tableColumn id="1" name="Religion" totalsRowLabel="Total persons" dataDxfId="38" totalsRowDxfId="37"/>
    <tableColumn id="2" name="Birthplace Australia" totalsRowFunction="custom" dataDxfId="36" totalsRowDxfId="35">
      <totalsRowFormula>C16</totalsRowFormula>
    </tableColumn>
    <tableColumn id="3" name="Overseas" totalsRowFunction="custom" dataDxfId="34" totalsRowDxfId="33">
      <totalsRowFormula>C17</totalsRowFormula>
    </tableColumn>
    <tableColumn id="4" name="Not stated" totalsRowFunction="custom" dataDxfId="32" totalsRowDxfId="31">
      <totalsRowFormula>C18</totalsRowFormula>
    </tableColumn>
    <tableColumn id="5" name="Age 01-14" totalsRowLabel="1037" dataDxfId="30" totalsRowDxfId="29"/>
    <tableColumn id="6" name="15-24" totalsRowLabel="574" dataDxfId="28" totalsRowDxfId="27" dataCellStyle="Normal 2"/>
    <tableColumn id="7" name="25-44" totalsRowLabel="1038" dataDxfId="26" totalsRowDxfId="25" dataCellStyle="Normal 2"/>
    <tableColumn id="8" name="56-64" totalsRowLabel="447" dataDxfId="24" totalsRowDxfId="23" dataCellStyle="Percent 2"/>
    <tableColumn id="9" name="65+" totalsRowLabel="64" dataDxfId="22" totalsRowDxfId="21" dataCellStyle="Normal 2"/>
  </tableColumns>
  <tableStyleInfo name="TableStyleLight1" showFirstColumn="0" showLastColumn="0" showRowStripes="1" showColumnStripes="0"/>
</table>
</file>

<file path=xl/tables/table116.xml><?xml version="1.0" encoding="utf-8"?>
<table xmlns="http://schemas.openxmlformats.org/spreadsheetml/2006/main" id="18" name="Table79222681196102108114101114151719" displayName="Table79222681196102108114101114151719" ref="B185:I208" totalsRowCount="1" headerRowDxfId="20" dataDxfId="18" totalsRowDxfId="16" headerRowBorderDxfId="19" tableBorderDxfId="17">
  <autoFilter ref="B185:I20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sortState ref="B186:I207">
    <sortCondition descending="1" ref="E132:E156"/>
  </sortState>
  <tableColumns count="8">
    <tableColumn id="1" name="Religion" totalsRowLabel="Total persons" dataDxfId="15" totalsRowDxfId="14"/>
    <tableColumn id="2" name="Males" totalsRowLabel="1557" dataDxfId="13" totalsRowDxfId="12"/>
    <tableColumn id="3" name="Females" totalsRowLabel="1608" dataDxfId="11" totalsRowDxfId="10"/>
    <tableColumn id="4" name="Persons" totalsRowFunction="custom" dataDxfId="9" totalsRowDxfId="8">
      <totalsRowFormula>C15</totalsRowFormula>
    </tableColumn>
    <tableColumn id="5" name="% of population" totalsRowLabel="100%" dataDxfId="7" totalsRowDxfId="6">
      <calculatedColumnFormula>IFERROR(Table79222681196102108114101114151719[[#This Row],[Persons]]/$C$15,"..")</calculatedColumnFormula>
    </tableColumn>
    <tableColumn id="6" name="2011 Census" totalsRowFunction="custom" dataDxfId="5" totalsRowDxfId="4">
      <totalsRowFormula>E16</totalsRowFormula>
    </tableColumn>
    <tableColumn id="7" name="Change 2011-2016" totalsRowLabel=".." dataDxfId="3" totalsRowDxfId="2">
      <calculatedColumnFormula>IFERROR(Table79222681196102108114101114151719[[#This Row],[Persons]]-Table79222681196102108114101114151719[[#This Row],[2011 Census]],"..")</calculatedColumnFormula>
    </tableColumn>
    <tableColumn id="8" name="% change" totalsRowLabel=".." dataDxfId="1" totalsRowDxfId="0">
      <calculatedColumnFormula>IFERROR(((E186-G186)/G186),"..")</calculatedColumnFormula>
    </tableColumn>
  </tableColumns>
  <tableStyleInfo name="TableStyleLight1" showFirstColumn="0" showLastColumn="0" showRowStripes="1" showColumnStripes="0"/>
</table>
</file>

<file path=xl/tables/table12.xml><?xml version="1.0" encoding="utf-8"?>
<table xmlns="http://schemas.openxmlformats.org/spreadsheetml/2006/main" id="20" name="Table47911131572125721" displayName="Table47911131572125721" ref="B14:G25" totalsRowShown="0" headerRowDxfId="1526" dataDxfId="1525" tableBorderDxfId="1524">
  <autoFilter ref="B14:G25">
    <filterColumn colId="0" hiddenButton="1"/>
    <filterColumn colId="1" hiddenButton="1"/>
    <filterColumn colId="2" hiddenButton="1"/>
    <filterColumn colId="3" hiddenButton="1"/>
    <filterColumn colId="4" hiddenButton="1"/>
    <filterColumn colId="5" hiddenButton="1"/>
  </autoFilter>
  <tableColumns count="6">
    <tableColumn id="1" name="Summary indicators" dataDxfId="1523"/>
    <tableColumn id="2" name="2016 Census" dataDxfId="1522"/>
    <tableColumn id="8" name="% of population" dataDxfId="1521">
      <calculatedColumnFormula>SUM(C15/C12)</calculatedColumnFormula>
    </tableColumn>
    <tableColumn id="9" name="2011 Census" dataDxfId="1520"/>
    <tableColumn id="10" name="Change 2011-2016" dataDxfId="1519">
      <calculatedColumnFormula>(Table47911131572125721[[#This Row],[2016 Census]]-Table47911131572125721[[#This Row],[2011 Census]])</calculatedColumnFormula>
    </tableColumn>
    <tableColumn id="11" name="% change" dataDxfId="1518">
      <calculatedColumnFormula>(Table47911131572125721[[#This Row],[Change 2011-2016]]/Table47911131572125721[[#This Row],[2011 Census]])</calculatedColumnFormula>
    </tableColumn>
  </tableColumns>
  <tableStyleInfo name="TableStyleLight1" showFirstColumn="0" showLastColumn="0" showRowStripes="1" showColumnStripes="0"/>
</table>
</file>

<file path=xl/tables/table13.xml><?xml version="1.0" encoding="utf-8"?>
<table xmlns="http://schemas.openxmlformats.org/spreadsheetml/2006/main" id="21" name="Table792226822" displayName="Table792226822" ref="B128:H158" headerRowDxfId="1517" dataDxfId="1515" totalsRowDxfId="1513" headerRowBorderDxfId="1516" tableBorderDxfId="1514">
  <autoFilter ref="B128:H158"/>
  <sortState ref="B129:H158">
    <sortCondition descending="1" ref="E128:E158"/>
  </sortState>
  <tableColumns count="7">
    <tableColumn id="1" name="Language" totalsRowLabel="Total" dataDxfId="1512"/>
    <tableColumn id="2" name="Males" dataDxfId="1511"/>
    <tableColumn id="3" name="Females" dataDxfId="1510"/>
    <tableColumn id="4" name="Persons" dataDxfId="1509"/>
    <tableColumn id="5" name="% of LOTE speakers" dataDxfId="1508">
      <calculatedColumnFormula>SUM(Table792226822[[#This Row],[Persons]]/$E$160)</calculatedColumnFormula>
    </tableColumn>
    <tableColumn id="6" name="2011 Census" dataDxfId="1507"/>
    <tableColumn id="8" name="% change 2011-2016" totalsRowFunction="count" dataDxfId="1506">
      <calculatedColumnFormula>IFERROR((Table792226822[[#This Row],[Persons]]-Table792226822[[#This Row],[2011 Census]])/Table792226822[[#This Row],[2011 Census]],"..")</calculatedColumnFormula>
    </tableColumn>
  </tableColumns>
  <tableStyleInfo name="TableStyleLight1" showFirstColumn="0" showLastColumn="0" showRowStripes="1" showColumnStripes="0"/>
</table>
</file>

<file path=xl/tables/table14.xml><?xml version="1.0" encoding="utf-8"?>
<table xmlns="http://schemas.openxmlformats.org/spreadsheetml/2006/main" id="22" name="Table3102327923" displayName="Table3102327923" ref="B200:I210" totalsRowShown="0" headerRowDxfId="1505" dataDxfId="1504" headerRowCellStyle="Comma" dataCellStyle="Comma">
  <autoFilter ref="B200:I210"/>
  <tableColumns count="8">
    <tableColumn id="10" name="Ancestry (c)" dataDxfId="1503" dataCellStyle="Comma"/>
    <tableColumn id="9" name="Both parents born in Australia" dataDxfId="1502" dataCellStyle="Comma"/>
    <tableColumn id="2" name="Both parents born overseas" dataDxfId="1501" dataCellStyle="Comma"/>
    <tableColumn id="3" name="One parent OSB/one parent Aust born" dataDxfId="1500" dataCellStyle="Comma"/>
    <tableColumn id="4" name="Not stated - Birthplace for either or both parents not stated" dataDxfId="1499" dataCellStyle="Comma"/>
    <tableColumn id="5" name=" " dataDxfId="1498" dataCellStyle="Comma"/>
    <tableColumn id="6" name=" 2" dataDxfId="1497" dataCellStyle="Comma"/>
    <tableColumn id="7" name=" 3" dataDxfId="1496" dataCellStyle="Comma"/>
  </tableColumns>
  <tableStyleInfo name="TableStyleLight1" showFirstColumn="0" showLastColumn="0" showRowStripes="1" showColumnStripes="0"/>
</table>
</file>

<file path=xl/tables/table15.xml><?xml version="1.0" encoding="utf-8"?>
<table xmlns="http://schemas.openxmlformats.org/spreadsheetml/2006/main" id="24" name="Table79222681225" displayName="Table79222681225" ref="B242:J265" totalsRowCount="1" headerRowDxfId="1495" dataDxfId="1493" totalsRowDxfId="1491" headerRowBorderDxfId="1494" tableBorderDxfId="1492">
  <autoFilter ref="B242:J26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sortState ref="B243:I263">
    <sortCondition descending="1" ref="E128:E158"/>
  </sortState>
  <tableColumns count="9">
    <tableColumn id="1" name="Religion" totalsRowLabel="Total persons" dataDxfId="1490" totalsRowDxfId="1489"/>
    <tableColumn id="2" name="Birthplace Australia" totalsRowFunction="custom" dataDxfId="1488" totalsRowDxfId="1487">
      <totalsRowFormula>C16</totalsRowFormula>
    </tableColumn>
    <tableColumn id="3" name="Overseas" totalsRowFunction="custom" dataDxfId="1486" totalsRowDxfId="1485">
      <totalsRowFormula>C17</totalsRowFormula>
    </tableColumn>
    <tableColumn id="4" name="Not stated" totalsRowFunction="custom" dataDxfId="1484" totalsRowDxfId="1483">
      <totalsRowFormula>C18</totalsRowFormula>
    </tableColumn>
    <tableColumn id="5" name="Age 01-14" totalsRowLabel="5186" dataDxfId="1482" totalsRowDxfId="1481" dataCellStyle="Normal 2"/>
    <tableColumn id="6" name="15-24" totalsRowLabel="2800" dataDxfId="1480" totalsRowDxfId="1479" dataCellStyle="Normal 2"/>
    <tableColumn id="7" name="25-44" totalsRowLabel="7873" dataDxfId="1478" totalsRowDxfId="1477" dataCellStyle="Normal 2"/>
    <tableColumn id="8" name="56-64" totalsRowLabel="6855" dataDxfId="1476" totalsRowDxfId="1475" dataCellStyle="Percent 2"/>
    <tableColumn id="9" name="65+" totalsRowLabel="2029" dataDxfId="1474" totalsRowDxfId="1473" dataCellStyle="Normal 2"/>
  </tableColumns>
  <tableStyleInfo name="TableStyleLight1" showFirstColumn="0" showLastColumn="0" showRowStripes="1" showColumnStripes="0"/>
</table>
</file>

<file path=xl/tables/table16.xml><?xml version="1.0" encoding="utf-8"?>
<table xmlns="http://schemas.openxmlformats.org/spreadsheetml/2006/main" id="23" name="Table79222681124" displayName="Table79222681124" ref="B215:I238" totalsRowCount="1" headerRowDxfId="1472" dataDxfId="1470" totalsRowDxfId="1468" headerRowBorderDxfId="1471" tableBorderDxfId="1469">
  <autoFilter ref="B215:I23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sortState ref="B216:I237">
    <sortCondition descending="1" ref="E128:E158"/>
  </sortState>
  <tableColumns count="8">
    <tableColumn id="1" name="Religion" totalsRowLabel="Total persons" dataDxfId="1467" totalsRowDxfId="1466"/>
    <tableColumn id="2" name="Males" totalsRowLabel="12132" dataDxfId="1465" totalsRowDxfId="1464" dataCellStyle="Comma"/>
    <tableColumn id="3" name="Females" totalsRowLabel="12624" dataDxfId="1463" totalsRowDxfId="1462" dataCellStyle="Comma"/>
    <tableColumn id="4" name="Persons" totalsRowFunction="custom" dataDxfId="1461" totalsRowDxfId="1460">
      <totalsRowFormula>C15</totalsRowFormula>
    </tableColumn>
    <tableColumn id="5" name="% of population" totalsRowLabel="100%" dataDxfId="1459" totalsRowDxfId="1458">
      <calculatedColumnFormula>SUM(Table79222681124[[#This Row],[Persons]]/$C$15)</calculatedColumnFormula>
    </tableColumn>
    <tableColumn id="6" name="2011 Census" totalsRowFunction="custom" dataDxfId="1457" totalsRowDxfId="1456">
      <totalsRowFormula>E15</totalsRowFormula>
    </tableColumn>
    <tableColumn id="7" name="Change 2011-2016" totalsRowFunction="custom" dataDxfId="1455" totalsRowDxfId="1454">
      <calculatedColumnFormula>IFERROR(Table79222681124[[#This Row],[Persons]]-Table79222681124[[#This Row],[2011 Census]],"-")</calculatedColumnFormula>
      <totalsRowFormula>Table79222681124[[#Totals],[Persons]]-Table79222681124[[#Totals],[2011 Census]]</totalsRowFormula>
    </tableColumn>
    <tableColumn id="8" name="% change" totalsRowFunction="custom" dataDxfId="1453" totalsRowDxfId="1452" dataCellStyle="Percent">
      <calculatedColumnFormula>IFERROR(((E216-G216)/G216),"..")</calculatedColumnFormula>
      <totalsRowFormula>SUM((Table79222681124[[#Totals],[Persons]]-Table79222681124[[#Totals],[2011 Census]])/Table79222681124[[#Totals],[2011 Census]])</totalsRowFormula>
    </tableColumn>
  </tableColumns>
  <tableStyleInfo name="TableStyleLight1" showFirstColumn="0" showLastColumn="0" showRowStripes="1" showColumnStripes="0"/>
</table>
</file>

<file path=xl/tables/table17.xml><?xml version="1.0" encoding="utf-8"?>
<table xmlns="http://schemas.openxmlformats.org/spreadsheetml/2006/main" id="1" name="Table55202462" displayName="Table55202462" ref="B30:H52" totalsRowShown="0" headerRowDxfId="1451" dataDxfId="1450" totalsRowDxfId="1448" tableBorderDxfId="1449">
  <autoFilter ref="B30:H52">
    <filterColumn colId="0" hiddenButton="1"/>
    <filterColumn colId="1" hiddenButton="1"/>
    <filterColumn colId="2" hiddenButton="1"/>
    <filterColumn colId="3" hiddenButton="1"/>
    <filterColumn colId="4" hiddenButton="1"/>
    <filterColumn colId="5" hiddenButton="1"/>
    <filterColumn colId="6" hiddenButton="1"/>
  </autoFilter>
  <sortState ref="B31:H51">
    <sortCondition descending="1" ref="E30:E51"/>
  </sortState>
  <tableColumns count="7">
    <tableColumn id="1" name="Birthplace" dataDxfId="1447"/>
    <tableColumn id="12" name="Males 2016" dataDxfId="1446"/>
    <tableColumn id="15" name="Females 2016" dataDxfId="1445"/>
    <tableColumn id="16" name="Persons 2016" dataDxfId="1444"/>
    <tableColumn id="5" name="% of OSB" dataDxfId="1443">
      <calculatedColumnFormula>SUM(Table55202462[[#This Row],[Persons 2016]]/$C$17)</calculatedColumnFormula>
    </tableColumn>
    <tableColumn id="27" name="Persons 2011" dataDxfId="1442"/>
    <tableColumn id="8" name="% Change 2011-2016" dataDxfId="1441">
      <calculatedColumnFormula>IFERROR((Table55202462[[#This Row],[Persons 2016]]-Table55202462[[#This Row],[Persons 2011]])/Table55202462[[#This Row],[Persons 2011]],"..")</calculatedColumnFormula>
    </tableColumn>
  </tableColumns>
  <tableStyleInfo name="TableStyleLight1" showFirstColumn="0" showLastColumn="0" showRowStripes="1" showColumnStripes="0"/>
</table>
</file>

<file path=xl/tables/table18.xml><?xml version="1.0" encoding="utf-8"?>
<table xmlns="http://schemas.openxmlformats.org/spreadsheetml/2006/main" id="2" name="Table4791113157212573" displayName="Table4791113157212573" ref="B14:G25" totalsRowShown="0" headerRowDxfId="1440" dataDxfId="1439" tableBorderDxfId="1438">
  <autoFilter ref="B14:G25">
    <filterColumn colId="0" hiddenButton="1"/>
    <filterColumn colId="1" hiddenButton="1"/>
    <filterColumn colId="2" hiddenButton="1"/>
    <filterColumn colId="3" hiddenButton="1"/>
    <filterColumn colId="4" hiddenButton="1"/>
    <filterColumn colId="5" hiddenButton="1"/>
  </autoFilter>
  <tableColumns count="6">
    <tableColumn id="1" name="Summary indicators" dataDxfId="1437"/>
    <tableColumn id="2" name="Persons" dataDxfId="1436"/>
    <tableColumn id="8" name="% of population" dataDxfId="1435">
      <calculatedColumnFormula>SUM(C15/C12)</calculatedColumnFormula>
    </tableColumn>
    <tableColumn id="9" name="2011 Census" dataDxfId="1434"/>
    <tableColumn id="10" name="Change 2011-2016" dataDxfId="1433">
      <calculatedColumnFormula>(Table4791113157212573[[#This Row],[Persons]]-Table4791113157212573[[#This Row],[2011 Census]])</calculatedColumnFormula>
    </tableColumn>
    <tableColumn id="11" name="% change" dataDxfId="1432">
      <calculatedColumnFormula>(Table4791113157212573[[#This Row],[Change 2011-2016]]/Table4791113157212573[[#This Row],[2011 Census]])</calculatedColumnFormula>
    </tableColumn>
  </tableColumns>
  <tableStyleInfo name="TableStyleLight1" showFirstColumn="0" showLastColumn="0" showRowStripes="1" showColumnStripes="0"/>
</table>
</file>

<file path=xl/tables/table19.xml><?xml version="1.0" encoding="utf-8"?>
<table xmlns="http://schemas.openxmlformats.org/spreadsheetml/2006/main" id="4" name="Table310232795" displayName="Table310232795" ref="B179:I189" totalsRowShown="0" headerRowDxfId="1431" dataDxfId="1429" headerRowBorderDxfId="1430" dataCellStyle="Normal 2">
  <autoFilter ref="B179:I18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0" name="Ancestry (c)" dataDxfId="1428" dataCellStyle="Normal 2"/>
    <tableColumn id="9" name="Both parents born in Australia" dataDxfId="1427" dataCellStyle="Normal 2"/>
    <tableColumn id="2" name="Both parents born overseas" dataDxfId="1426" dataCellStyle="Normal 2"/>
    <tableColumn id="3" name="One parent OSB/one parent Aust born" dataDxfId="1425" dataCellStyle="Normal 2"/>
    <tableColumn id="4" name="Not stated - Birthplace for either or both parents not stated" dataDxfId="1424" dataCellStyle="Normal 2"/>
    <tableColumn id="5" name=" " dataDxfId="1423" dataCellStyle="Normal 2"/>
    <tableColumn id="6" name="      " dataDxfId="1422" dataCellStyle="Normal 2"/>
    <tableColumn id="7" name="   " dataDxfId="1421" dataCellStyle="Normal 2"/>
  </tableColumns>
  <tableStyleInfo name="TableStyleLight1" showFirstColumn="0" showLastColumn="0" showRowStripes="1" showColumnStripes="0"/>
</table>
</file>

<file path=xl/tables/table2.xml><?xml version="1.0" encoding="utf-8"?>
<table xmlns="http://schemas.openxmlformats.org/spreadsheetml/2006/main" id="7" name="Table7" displayName="Table7" ref="B30:H50" totalsRowShown="0" headerRowDxfId="1636" dataDxfId="1635" tableBorderDxfId="1634" dataCellStyle="Normal 3">
  <autoFilter ref="B30:H5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Birthplace" dataDxfId="1633" dataCellStyle="rowfield"/>
    <tableColumn id="2" name="Males" dataDxfId="1632" dataCellStyle="Comma 3"/>
    <tableColumn id="3" name="Females" dataDxfId="1631" dataCellStyle="Comma 3"/>
    <tableColumn id="4" name="Persons" dataDxfId="1630" dataCellStyle="Comma 3"/>
    <tableColumn id="5" name="% of OSB" dataDxfId="1629" dataCellStyle="Normal 3"/>
    <tableColumn id="6" name="2011 Census" dataDxfId="1628" dataCellStyle="Comma 3"/>
    <tableColumn id="8" name="% change 2011-2016" dataDxfId="1627" dataCellStyle="Normal 3"/>
  </tableColumns>
  <tableStyleInfo name="TableStyleMedium5" showFirstColumn="0" showLastColumn="0" showRowStripes="1" showColumnStripes="0"/>
</table>
</file>

<file path=xl/tables/table20.xml><?xml version="1.0" encoding="utf-8"?>
<table xmlns="http://schemas.openxmlformats.org/spreadsheetml/2006/main" id="12" name="Table79222681213" displayName="Table79222681213" ref="B221:J244" totalsRowCount="1" headerRowDxfId="1420" dataDxfId="1418" totalsRowDxfId="1416" headerRowBorderDxfId="1419" tableBorderDxfId="1417">
  <autoFilter ref="B221:J24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sortState ref="B222:I241">
    <sortCondition descending="1" ref="E127:E138"/>
  </sortState>
  <tableColumns count="9">
    <tableColumn id="1" name="Religion" totalsRowLabel="Total persons" dataDxfId="1415" totalsRowDxfId="1414"/>
    <tableColumn id="2" name="Birthplace Australia" totalsRowFunction="custom" dataDxfId="1413" totalsRowDxfId="1412">
      <totalsRowFormula>C16</totalsRowFormula>
    </tableColumn>
    <tableColumn id="3" name="Overseas" totalsRowFunction="custom" dataDxfId="1411" totalsRowDxfId="1410">
      <totalsRowFormula>C17</totalsRowFormula>
    </tableColumn>
    <tableColumn id="4" name="Not stated" totalsRowFunction="custom" dataDxfId="1409" totalsRowDxfId="1408">
      <totalsRowFormula>C18</totalsRowFormula>
    </tableColumn>
    <tableColumn id="5" name="Age 01-14" totalsRowLabel="1742" dataDxfId="1407" totalsRowDxfId="1406"/>
    <tableColumn id="6" name="15-24" totalsRowLabel="1106" dataDxfId="1405" totalsRowDxfId="1404"/>
    <tableColumn id="7" name="25-44" totalsRowLabel="1973" dataDxfId="1403" totalsRowDxfId="1402"/>
    <tableColumn id="8" name="56-64" totalsRowLabel="1412" dataDxfId="1401" totalsRowDxfId="1400"/>
    <tableColumn id="9" name="65+" totalsRowLabel="421" dataDxfId="1399" totalsRowDxfId="1398" dataCellStyle="Normal 2"/>
  </tableColumns>
  <tableStyleInfo name="TableStyleLight1" showFirstColumn="0" showLastColumn="0" showRowStripes="1" showColumnStripes="0"/>
</table>
</file>

<file path=xl/tables/table21.xml><?xml version="1.0" encoding="utf-8"?>
<table xmlns="http://schemas.openxmlformats.org/spreadsheetml/2006/main" id="15" name="Table792226811241516" displayName="Table792226811241516" ref="B194:I217" totalsRowCount="1" headerRowDxfId="1397" dataDxfId="1395" totalsRowDxfId="1393" headerRowBorderDxfId="1396" tableBorderDxfId="1394">
  <autoFilter ref="B194:I21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sortState ref="B195:I216">
    <sortCondition descending="1" ref="E134:E143"/>
  </sortState>
  <tableColumns count="8">
    <tableColumn id="1" name="Religion" totalsRowLabel="Total persons" dataDxfId="1392" totalsRowDxfId="1391"/>
    <tableColumn id="2" name="Males" totalsRowLabel="3427" dataDxfId="1390" totalsRowDxfId="1389"/>
    <tableColumn id="3" name="Females" totalsRowLabel="3227" dataDxfId="1388" totalsRowDxfId="1387"/>
    <tableColumn id="4" name="Persons" totalsRowFunction="custom" dataDxfId="1386" totalsRowDxfId="1385">
      <totalsRowFormula>C15</totalsRowFormula>
    </tableColumn>
    <tableColumn id="5" name="% of population" totalsRowLabel="100%" dataDxfId="1384" totalsRowDxfId="1383">
      <calculatedColumnFormula>Table792226811241516[[#This Row],[Persons]]/$C$15</calculatedColumnFormula>
    </tableColumn>
    <tableColumn id="6" name="2011 Census" totalsRowFunction="custom" dataDxfId="1382" totalsRowDxfId="1381">
      <totalsRowFormula>E15</totalsRowFormula>
    </tableColumn>
    <tableColumn id="7" name="Change 2011-2016" totalsRowFunction="custom" dataDxfId="1380" totalsRowDxfId="1379">
      <calculatedColumnFormula>Table792226811241516[[#This Row],[Persons]]-Table792226811241516[[#This Row],[2011 Census]]</calculatedColumnFormula>
      <totalsRowFormula>Table792226811241516[[#Totals],[Persons]]-Table792226811241516[[#Totals],[2011 Census]]</totalsRowFormula>
    </tableColumn>
    <tableColumn id="8" name="% change" totalsRowFunction="custom" dataDxfId="1378" totalsRowDxfId="1377">
      <calculatedColumnFormula>IFERROR((Table792226811241516[[#This Row],[Persons]]-Table792226811241516[[#This Row],[2011 Census]])/Table792226811241516[[#This Row],[2011 Census]],"..")</calculatedColumnFormula>
      <totalsRowFormula>SUM((Table792226811241516[[#Totals],[Persons]]-Table792226811241516[[#Totals],[2011 Census]])/Table792226811241516[[#Totals],[2011 Census]])</totalsRowFormula>
    </tableColumn>
  </tableColumns>
  <tableStyleInfo name="TableStyleLight1" showFirstColumn="0" showLastColumn="0" showRowStripes="1" showColumnStripes="0"/>
</table>
</file>

<file path=xl/tables/table22.xml><?xml version="1.0" encoding="utf-8"?>
<table xmlns="http://schemas.openxmlformats.org/spreadsheetml/2006/main" id="3" name="Table79222684" displayName="Table79222684" ref="B127:H139" totalsRowCount="1" headerRowDxfId="1376" dataDxfId="1374" totalsRowDxfId="1372" headerRowBorderDxfId="1375" tableBorderDxfId="1373">
  <autoFilter ref="B127:H138">
    <filterColumn colId="0" hiddenButton="1"/>
    <filterColumn colId="1" hiddenButton="1"/>
    <filterColumn colId="2" hiddenButton="1"/>
    <filterColumn colId="3" hiddenButton="1"/>
    <filterColumn colId="4" hiddenButton="1"/>
    <filterColumn colId="5" hiddenButton="1"/>
    <filterColumn colId="6" hiddenButton="1"/>
  </autoFilter>
  <sortState ref="B128:H138">
    <sortCondition descending="1" ref="E127:E138"/>
  </sortState>
  <tableColumns count="7">
    <tableColumn id="1" name="Language" totalsRowLabel="Total LOTE speakers (b)" dataDxfId="1371" totalsRowDxfId="1370"/>
    <tableColumn id="2" name="Males" totalsRowLabel="1626" dataDxfId="1369" totalsRowDxfId="1368" dataCellStyle="Normal 2"/>
    <tableColumn id="3" name="Females" totalsRowLabel="1684" dataDxfId="1367" totalsRowDxfId="1366" dataCellStyle="Normal 2"/>
    <tableColumn id="4" name="Persons" totalsRowFunction="custom" dataDxfId="1365" totalsRowDxfId="1364" dataCellStyle="Normal 2">
      <totalsRowFormula>C23</totalsRowFormula>
    </tableColumn>
    <tableColumn id="5" name="% of LOTE speakers" totalsRowLabel="100%" dataDxfId="1363" totalsRowDxfId="1362" dataCellStyle="Normal 2">
      <calculatedColumnFormula>SUM(Table79222684[[#This Row],[Persons]]/$C$23)</calculatedColumnFormula>
    </tableColumn>
    <tableColumn id="6" name="2011 Census" totalsRowFunction="custom" dataDxfId="1361" totalsRowDxfId="1360" dataCellStyle="Normal 2">
      <totalsRowFormula>E23</totalsRowFormula>
    </tableColumn>
    <tableColumn id="8" name="% change 2011-2016" totalsRowFunction="custom" dataDxfId="1359" totalsRowDxfId="1358" dataCellStyle="Percent">
      <calculatedColumnFormula>IFERROR((Table79222684[[#This Row],[Persons]]-Table79222684[[#This Row],[2011 Census]])/Table79222684[[#This Row],[2011 Census]],"..")</calculatedColumnFormula>
      <totalsRowFormula>(Table79222684[[#Totals],[Persons]]-Table79222684[[#Totals],[2011 Census]])/Table79222684[[#Totals],[2011 Census]]</totalsRowFormula>
    </tableColumn>
  </tableColumns>
  <tableStyleInfo name="TableStyleLight1" showFirstColumn="0" showLastColumn="0" showRowStripes="1" showColumnStripes="0"/>
</table>
</file>

<file path=xl/tables/table23.xml><?xml version="1.0" encoding="utf-8"?>
<table xmlns="http://schemas.openxmlformats.org/spreadsheetml/2006/main" id="73" name="Table552024674" displayName="Table552024674" ref="B30:H42" totalsRowShown="0" headerRowDxfId="1357" dataDxfId="1356" totalsRowDxfId="1354" tableBorderDxfId="1355">
  <autoFilter ref="B30:H42">
    <filterColumn colId="0" hiddenButton="1"/>
    <filterColumn colId="1" hiddenButton="1"/>
    <filterColumn colId="2" hiddenButton="1"/>
    <filterColumn colId="3" hiddenButton="1"/>
    <filterColumn colId="4" hiddenButton="1"/>
    <filterColumn colId="5" hiddenButton="1"/>
    <filterColumn colId="6" hiddenButton="1"/>
  </autoFilter>
  <sortState ref="B31:H40">
    <sortCondition descending="1" ref="E30:E40"/>
  </sortState>
  <tableColumns count="7">
    <tableColumn id="1" name="Birthplace" dataDxfId="1353"/>
    <tableColumn id="12" name="Males 2016" dataDxfId="1352"/>
    <tableColumn id="15" name="Females 2016" dataDxfId="1351"/>
    <tableColumn id="16" name="Persons 2016" dataDxfId="1350"/>
    <tableColumn id="5" name="% of OSB" dataDxfId="1349">
      <calculatedColumnFormula>IFERROR((Table552024674[[#This Row],[Persons 2016]]/$C$17),"..")</calculatedColumnFormula>
    </tableColumn>
    <tableColumn id="27" name="Persons 2011" dataDxfId="1348"/>
    <tableColumn id="8" name="% Change 2011-2016" dataDxfId="1347">
      <calculatedColumnFormula>IFERROR((Table552024674[[#This Row],[Persons 2016]]-Table552024674[[#This Row],[Persons 2011]])/Table552024674[[#This Row],[Persons 2011]],"..")</calculatedColumnFormula>
    </tableColumn>
  </tableColumns>
  <tableStyleInfo name="TableStyleLight1" showFirstColumn="0" showLastColumn="0" showRowStripes="1" showColumnStripes="0"/>
</table>
</file>

<file path=xl/tables/table24.xml><?xml version="1.0" encoding="utf-8"?>
<table xmlns="http://schemas.openxmlformats.org/spreadsheetml/2006/main" id="74" name="Table47911131572125775" displayName="Table47911131572125775" ref="B14:G25" totalsRowShown="0" headerRowDxfId="1346" dataDxfId="1345" tableBorderDxfId="1344">
  <autoFilter ref="B14:G25">
    <filterColumn colId="0" hiddenButton="1"/>
    <filterColumn colId="1" hiddenButton="1"/>
    <filterColumn colId="2" hiddenButton="1"/>
    <filterColumn colId="3" hiddenButton="1"/>
    <filterColumn colId="4" hiddenButton="1"/>
    <filterColumn colId="5" hiddenButton="1"/>
  </autoFilter>
  <tableColumns count="6">
    <tableColumn id="1" name="Summary indicators" dataDxfId="1343"/>
    <tableColumn id="2" name="Persons" dataDxfId="1342"/>
    <tableColumn id="8" name="% of population" dataDxfId="1341">
      <calculatedColumnFormula>SUM(C15/$C$15)</calculatedColumnFormula>
    </tableColumn>
    <tableColumn id="9" name="2011 Census" dataDxfId="1340"/>
    <tableColumn id="10" name="Change 2011-2016" dataDxfId="1339">
      <calculatedColumnFormula>(Table47911131572125775[[#This Row],[Persons]]-Table47911131572125775[[#This Row],[2011 Census]])</calculatedColumnFormula>
    </tableColumn>
    <tableColumn id="11" name="% change" dataDxfId="1338">
      <calculatedColumnFormula>IFERROR(Table47911131572125775[[#This Row],[Change 2011-2016]]/Table47911131572125775[[#This Row],[2011 Census]],"..")</calculatedColumnFormula>
    </tableColumn>
  </tableColumns>
  <tableStyleInfo name="TableStyleLight1" showFirstColumn="0" showLastColumn="0" showRowStripes="1" showColumnStripes="0"/>
</table>
</file>

<file path=xl/tables/table25.xml><?xml version="1.0" encoding="utf-8"?>
<table xmlns="http://schemas.openxmlformats.org/spreadsheetml/2006/main" id="75" name="Table792226876" displayName="Table792226876" ref="B117:H129" totalsRowCount="1" headerRowDxfId="1337" dataDxfId="1335" totalsRowDxfId="1333" headerRowBorderDxfId="1336" tableBorderDxfId="1334">
  <autoFilter ref="B117:H128"/>
  <sortState ref="B118:H128">
    <sortCondition descending="1" ref="E117:E128"/>
  </sortState>
  <tableColumns count="7">
    <tableColumn id="1" name="Language" totalsRowLabel="Total LOTE speakers (b)" dataDxfId="1332" totalsRowDxfId="1331"/>
    <tableColumn id="2" name="Males" totalsRowLabel="80" dataDxfId="1330" totalsRowDxfId="1329" dataCellStyle="Normal 2"/>
    <tableColumn id="3" name="Females" totalsRowLabel="57" dataDxfId="1328" totalsRowDxfId="1327" dataCellStyle="Normal 2"/>
    <tableColumn id="4" name="Persons" totalsRowLabel="136" dataDxfId="1326" totalsRowDxfId="1325" dataCellStyle="Normal 2"/>
    <tableColumn id="5" name="% of LOTE speakers" totalsRowLabel="100%" dataDxfId="1324" totalsRowDxfId="1323" dataCellStyle="Normal 2">
      <calculatedColumnFormula>IFERROR((Table792226876[[#This Row],[Persons]]/$C$23),"..")</calculatedColumnFormula>
    </tableColumn>
    <tableColumn id="6" name="2011 Census" totalsRowFunction="custom" dataDxfId="1322" totalsRowDxfId="1321" dataCellStyle="Normal 2">
      <totalsRowFormula>E23</totalsRowFormula>
    </tableColumn>
    <tableColumn id="8" name="% change 2011-2016" totalsRowFunction="custom" dataDxfId="1320" totalsRowDxfId="1319" dataCellStyle="Percent 2">
      <calculatedColumnFormula>IFERROR(((E118-G118)/G118),"..")</calculatedColumnFormula>
      <totalsRowFormula>(Table792226876[[#Totals],[Persons]]-Table792226876[[#Totals],[2011 Census]])/Table792226876[[#Totals],[2011 Census]]</totalsRowFormula>
    </tableColumn>
  </tableColumns>
  <tableStyleInfo name="TableStyleLight1" showFirstColumn="0" showLastColumn="0" showRowStripes="1" showColumnStripes="0"/>
</table>
</file>

<file path=xl/tables/table26.xml><?xml version="1.0" encoding="utf-8"?>
<table xmlns="http://schemas.openxmlformats.org/spreadsheetml/2006/main" id="76" name="Table3102327977" displayName="Table3102327977" ref="B169:I179" totalsRowShown="0" headerRowDxfId="1318" dataDxfId="1317">
  <autoFilter ref="B169:I179"/>
  <tableColumns count="8">
    <tableColumn id="10" name="Ancestry (c)" dataDxfId="1316" dataCellStyle="Normal 2"/>
    <tableColumn id="9" name="Both parents born in Australia" dataDxfId="1315" dataCellStyle="Normal 2"/>
    <tableColumn id="2" name="Both parents born overseas" dataDxfId="1314" dataCellStyle="Normal 2"/>
    <tableColumn id="3" name="One parent OSB/one parent Aust born" dataDxfId="1313" dataCellStyle="Normal 2"/>
    <tableColumn id="4" name="Not stated - Birthplace for either or both parents not stated" dataDxfId="1312" dataCellStyle="Normal 2"/>
    <tableColumn id="5" name=" " dataDxfId="1311" dataCellStyle="Normal 2"/>
    <tableColumn id="6" name=" 2" dataDxfId="1310" dataCellStyle="Normal 2"/>
    <tableColumn id="7" name=" 3" dataDxfId="1309" dataCellStyle="Normal 2"/>
  </tableColumns>
  <tableStyleInfo name="TableStyleLight1" showFirstColumn="0" showLastColumn="0" showRowStripes="1" showColumnStripes="0"/>
</table>
</file>

<file path=xl/tables/table27.xml><?xml version="1.0" encoding="utf-8"?>
<table xmlns="http://schemas.openxmlformats.org/spreadsheetml/2006/main" id="78" name="Table79222681279" displayName="Table79222681279" ref="B211:J234" totalsRowCount="1" headerRowDxfId="1308" dataDxfId="1306" totalsRowDxfId="1304" headerRowBorderDxfId="1307" tableBorderDxfId="1305">
  <autoFilter ref="B211:J23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sortState ref="B212:I231">
    <sortCondition descending="1" ref="E117:E128"/>
  </sortState>
  <tableColumns count="9">
    <tableColumn id="1" name="Religion" totalsRowLabel="Total persons" dataDxfId="1303" totalsRowDxfId="1302"/>
    <tableColumn id="2" name="Birthplace Australia" totalsRowFunction="custom" dataDxfId="1301" totalsRowDxfId="1300">
      <totalsRowFormula>C16</totalsRowFormula>
    </tableColumn>
    <tableColumn id="3" name="Overseas" totalsRowFunction="custom" dataDxfId="1299" totalsRowDxfId="1298">
      <totalsRowFormula>-C17</totalsRowFormula>
    </tableColumn>
    <tableColumn id="4" name="Not stated" totalsRowFunction="custom" dataDxfId="1297" totalsRowDxfId="1296">
      <totalsRowFormula>C18</totalsRowFormula>
    </tableColumn>
    <tableColumn id="5" name="Age 01-14" totalsRowLabel="38" dataDxfId="1295" totalsRowDxfId="1294"/>
    <tableColumn id="6" name="15-24" totalsRowLabel="40" dataDxfId="1293" totalsRowDxfId="1292"/>
    <tableColumn id="7" name="25-44" totalsRowLabel="50" dataDxfId="1291" totalsRowDxfId="1290"/>
    <tableColumn id="8" name="56-64" totalsRowLabel="42" dataDxfId="1289" totalsRowDxfId="1288"/>
    <tableColumn id="9" name="65+" totalsRowLabel="7" dataDxfId="1287" totalsRowDxfId="1286" dataCellStyle="Normal 2"/>
  </tableColumns>
  <tableStyleInfo name="TableStyleLight1" showFirstColumn="0" showLastColumn="0" showRowStripes="1" showColumnStripes="0"/>
</table>
</file>

<file path=xl/tables/table28.xml><?xml version="1.0" encoding="utf-8"?>
<table xmlns="http://schemas.openxmlformats.org/spreadsheetml/2006/main" id="17" name="Table792226811241518" displayName="Table792226811241518" ref="B184:I207" totalsRowCount="1" headerRowDxfId="1285" dataDxfId="1283" totalsRowDxfId="1281" headerRowBorderDxfId="1284" tableBorderDxfId="1282">
  <autoFilter ref="B184:I206"/>
  <sortState ref="B185:I206">
    <sortCondition descending="1" ref="E117:E127"/>
  </sortState>
  <tableColumns count="8">
    <tableColumn id="1" name="Religion" totalsRowLabel="Total persons" dataDxfId="1280" totalsRowDxfId="1279"/>
    <tableColumn id="2" name="Males" totalsRowLabel="92" dataDxfId="1278" totalsRowDxfId="1277"/>
    <tableColumn id="3" name="Females" totalsRowLabel="74" dataDxfId="1276" totalsRowDxfId="1275"/>
    <tableColumn id="4" name="Persons" totalsRowFunction="custom" dataDxfId="1274" totalsRowDxfId="1273">
      <totalsRowFormula>C15</totalsRowFormula>
    </tableColumn>
    <tableColumn id="5" name="% of population" totalsRowLabel="100%" dataDxfId="1272" totalsRowDxfId="1271">
      <calculatedColumnFormula>IFERROR((Table792226811241518[[#This Row],[Persons]]/$C$15),"..")</calculatedColumnFormula>
    </tableColumn>
    <tableColumn id="6" name="2011 Census" totalsRowFunction="custom" dataDxfId="1270" totalsRowDxfId="1269" dataCellStyle="Normal 2">
      <totalsRowFormula>E15</totalsRowFormula>
    </tableColumn>
    <tableColumn id="7" name="Change 2011-2016" totalsRowFunction="custom" dataDxfId="1268" totalsRowDxfId="1267" dataCellStyle="Normal 2">
      <calculatedColumnFormula>IFERROR(Table792226811241518[[#This Row],[Persons]]-Table792226811241518[[#This Row],[2011 Census]],"..")</calculatedColumnFormula>
      <totalsRowFormula>Table792226811241518[[#Totals],[Persons]]-Table792226811241518[[#Totals],[2011 Census]]</totalsRowFormula>
    </tableColumn>
    <tableColumn id="8" name="% change" totalsRowFunction="custom" dataDxfId="1266" totalsRowDxfId="1265" dataCellStyle="Percent 2">
      <calculatedColumnFormula>IFERROR((Table792226811241518[[#This Row],[Persons]]-Table792226811241518[[#This Row],[2011 Census]])/Table792226811241518[[#This Row],[2011 Census]],"..")</calculatedColumnFormula>
      <totalsRowFormula>SUM((Table792226811241518[[#Totals],[Persons]]-Table792226811241518[[#Totals],[2011 Census]])/Table792226811241518[[#Totals],[2011 Census]])</totalsRowFormula>
    </tableColumn>
  </tableColumns>
  <tableStyleInfo name="TableStyleLight1" showFirstColumn="0" showLastColumn="0" showRowStripes="1" showColumnStripes="0"/>
</table>
</file>

<file path=xl/tables/table29.xml><?xml version="1.0" encoding="utf-8"?>
<table xmlns="http://schemas.openxmlformats.org/spreadsheetml/2006/main" id="85" name="Table552024686" displayName="Table552024686" ref="B30:H42" totalsRowShown="0" headerRowDxfId="1264" dataDxfId="1263" totalsRowDxfId="1261" tableBorderDxfId="1262">
  <autoFilter ref="B30:H42">
    <filterColumn colId="0" hiddenButton="1"/>
    <filterColumn colId="1" hiddenButton="1"/>
    <filterColumn colId="2" hiddenButton="1"/>
    <filterColumn colId="3" hiddenButton="1"/>
    <filterColumn colId="4" hiddenButton="1"/>
    <filterColumn colId="5" hiddenButton="1"/>
    <filterColumn colId="6" hiddenButton="1"/>
  </autoFilter>
  <sortState ref="B31:H40">
    <sortCondition descending="1" ref="E30:E40"/>
  </sortState>
  <tableColumns count="7">
    <tableColumn id="1" name="Birthplace" dataDxfId="1260"/>
    <tableColumn id="12" name="Males 2016" dataDxfId="1259"/>
    <tableColumn id="15" name="Females 2016" dataDxfId="1258"/>
    <tableColumn id="16" name="Persons 2016" dataDxfId="1257"/>
    <tableColumn id="5" name="% of OSB" dataDxfId="1256">
      <calculatedColumnFormula>IFERROR(Table552024686[[#This Row],[Persons 2016]]/$C$17,"..")</calculatedColumnFormula>
    </tableColumn>
    <tableColumn id="27" name="Persons 2011" dataDxfId="1255"/>
    <tableColumn id="8" name="% Change 2011-2016" dataDxfId="1254">
      <calculatedColumnFormula>IFERROR((Table552024686[[#This Row],[Persons 2016]]-Table552024686[[#This Row],[Persons 2011]])/Table552024686[[#This Row],[Persons 2011]],"..")</calculatedColumnFormula>
    </tableColumn>
  </tableColumns>
  <tableStyleInfo name="TableStyleLight1" showFirstColumn="0" showLastColumn="0" showRowStripes="1" showColumnStripes="0"/>
</table>
</file>

<file path=xl/tables/table3.xml><?xml version="1.0" encoding="utf-8"?>
<table xmlns="http://schemas.openxmlformats.org/spreadsheetml/2006/main" id="8" name="Table8" displayName="Table8" ref="B58:H69" totalsRowShown="0" headerRowDxfId="1626" dataDxfId="1625" tableBorderDxfId="1624" headerRowCellStyle="Normal 3" dataCellStyle="cells">
  <autoFilter ref="B58:H6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Birthplace" dataDxfId="1623" dataCellStyle="rowfield"/>
    <tableColumn id="2" name="0-14" dataDxfId="1622" dataCellStyle="cells"/>
    <tableColumn id="3" name="15-24" dataDxfId="1621" dataCellStyle="cells"/>
    <tableColumn id="4" name="25-44" dataDxfId="1620" dataCellStyle="cells"/>
    <tableColumn id="5" name="45-64" dataDxfId="1619" dataCellStyle="cells"/>
    <tableColumn id="6" name="65+" dataDxfId="1618" dataCellStyle="cells"/>
    <tableColumn id="7" name="Total" dataDxfId="1617" dataCellStyle="Comma 3"/>
  </tableColumns>
  <tableStyleInfo name="TableStyleMedium5" showFirstColumn="0" showLastColumn="0" showRowStripes="1" showColumnStripes="0"/>
</table>
</file>

<file path=xl/tables/table30.xml><?xml version="1.0" encoding="utf-8"?>
<table xmlns="http://schemas.openxmlformats.org/spreadsheetml/2006/main" id="86" name="Table47911131572125787" displayName="Table47911131572125787" ref="B14:G25" totalsRowShown="0" headerRowDxfId="1253" dataDxfId="1252" tableBorderDxfId="1251">
  <autoFilter ref="B14:G25">
    <filterColumn colId="0" hiddenButton="1"/>
    <filterColumn colId="1" hiddenButton="1"/>
    <filterColumn colId="2" hiddenButton="1"/>
    <filterColumn colId="3" hiddenButton="1"/>
    <filterColumn colId="4" hiddenButton="1"/>
    <filterColumn colId="5" hiddenButton="1"/>
  </autoFilter>
  <tableColumns count="6">
    <tableColumn id="1" name="Summary indicators" dataDxfId="1250"/>
    <tableColumn id="2" name="Persons" dataDxfId="1249"/>
    <tableColumn id="8" name="% of population" dataDxfId="1248">
      <calculatedColumnFormula>SUM(C15/C12)</calculatedColumnFormula>
    </tableColumn>
    <tableColumn id="9" name="2011 Census" dataDxfId="1247"/>
    <tableColumn id="10" name="Change 2011-2016" dataDxfId="1246">
      <calculatedColumnFormula>(Table47911131572125787[[#This Row],[Persons]]-Table47911131572125787[[#This Row],[2011 Census]])</calculatedColumnFormula>
    </tableColumn>
    <tableColumn id="11" name="% change" dataDxfId="1245">
      <calculatedColumnFormula>(Table47911131572125787[[#This Row],[Change 2011-2016]]/Table47911131572125787[[#This Row],[2011 Census]])</calculatedColumnFormula>
    </tableColumn>
  </tableColumns>
  <tableStyleInfo name="TableStyleLight1" showFirstColumn="0" showLastColumn="0" showRowStripes="1" showColumnStripes="0"/>
</table>
</file>

<file path=xl/tables/table31.xml><?xml version="1.0" encoding="utf-8"?>
<table xmlns="http://schemas.openxmlformats.org/spreadsheetml/2006/main" id="87" name="Table792226888" displayName="Table792226888" ref="B117:H129" totalsRowCount="1" headerRowDxfId="1244" dataDxfId="1242" totalsRowDxfId="1240" headerRowBorderDxfId="1243" tableBorderDxfId="1241">
  <autoFilter ref="B117:H128">
    <filterColumn colId="0" hiddenButton="1"/>
    <filterColumn colId="1" hiddenButton="1"/>
    <filterColumn colId="2" hiddenButton="1"/>
    <filterColumn colId="3" hiddenButton="1"/>
    <filterColumn colId="4" hiddenButton="1"/>
    <filterColumn colId="5" hiddenButton="1"/>
    <filterColumn colId="6" hiddenButton="1"/>
  </autoFilter>
  <sortState ref="B118:H128">
    <sortCondition descending="1" ref="E117:E128"/>
  </sortState>
  <tableColumns count="7">
    <tableColumn id="1" name="Language" totalsRowLabel="Total LOTE speakers (b)" dataDxfId="1239" totalsRowDxfId="1238"/>
    <tableColumn id="2" name="Males" totalsRowLabel="1362" dataDxfId="1237" totalsRowDxfId="1236" dataCellStyle="Normal 2"/>
    <tableColumn id="3" name="Females" totalsRowLabel="1516" dataDxfId="1235" totalsRowDxfId="1234" dataCellStyle="Normal 2"/>
    <tableColumn id="4" name="Persons" totalsRowLabel="2,880" dataDxfId="1233" totalsRowDxfId="1232" dataCellStyle="Normal 2"/>
    <tableColumn id="5" name="% of LOTE speakers" totalsRowLabel="100%" dataDxfId="1231" totalsRowDxfId="1230" dataCellStyle="Normal 2">
      <calculatedColumnFormula>IFERROR(Table792226888[[#This Row],[Persons]]/$C$23,"..")</calculatedColumnFormula>
    </tableColumn>
    <tableColumn id="6" name="2011 Census" totalsRowFunction="custom" dataDxfId="1229" totalsRowDxfId="1228" dataCellStyle="Normal 2">
      <totalsRowFormula>E23</totalsRowFormula>
    </tableColumn>
    <tableColumn id="8" name="% change 2011-2016" totalsRowFunction="custom" dataDxfId="1227" totalsRowDxfId="1226" dataCellStyle="Percent">
      <calculatedColumnFormula>IFERROR((E118-G118)/G118,"..")</calculatedColumnFormula>
      <totalsRowFormula>(Table792226888[[#Totals],[Persons]]-G129)/G129</totalsRowFormula>
    </tableColumn>
  </tableColumns>
  <tableStyleInfo name="TableStyleLight1" showFirstColumn="0" showLastColumn="0" showRowStripes="1" showColumnStripes="0"/>
</table>
</file>

<file path=xl/tables/table32.xml><?xml version="1.0" encoding="utf-8"?>
<table xmlns="http://schemas.openxmlformats.org/spreadsheetml/2006/main" id="88" name="Table3102327989" displayName="Table3102327989" ref="B169:I179" totalsRowShown="0" headerRowDxfId="1225" dataDxfId="1224" dataCellStyle="Normal 2">
  <autoFilter ref="B169:I17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0" name="Ancestry (c)" dataDxfId="1223" dataCellStyle="Normal 2"/>
    <tableColumn id="9" name="Both parents born in Australia" dataDxfId="1222" dataCellStyle="Normal 2"/>
    <tableColumn id="2" name="Both parents born overseas" dataDxfId="1221" dataCellStyle="Normal 2"/>
    <tableColumn id="3" name="One parent OSB/one parent Aust born" dataDxfId="1220" dataCellStyle="Normal 2"/>
    <tableColumn id="4" name="Not stated - Birthplace for either or both parents not stated" dataDxfId="1219" dataCellStyle="Normal 2"/>
    <tableColumn id="5" name=" " dataDxfId="1218" dataCellStyle="Normal 2"/>
    <tableColumn id="6" name=" 2" dataDxfId="1217" dataCellStyle="Normal 2"/>
    <tableColumn id="7" name=" 3" dataDxfId="1216" dataCellStyle="Normal 2"/>
  </tableColumns>
  <tableStyleInfo name="TableStyleLight1" showFirstColumn="0" showLastColumn="0" showRowStripes="1" showColumnStripes="0"/>
</table>
</file>

<file path=xl/tables/table33.xml><?xml version="1.0" encoding="utf-8"?>
<table xmlns="http://schemas.openxmlformats.org/spreadsheetml/2006/main" id="90" name="Table79222681291" displayName="Table79222681291" ref="B211:J234" totalsRowCount="1" headerRowDxfId="1215" dataDxfId="1213" totalsRowDxfId="1211" headerRowBorderDxfId="1214" tableBorderDxfId="1212">
  <autoFilter ref="B211:J23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sortState ref="B212:I231">
    <sortCondition descending="1" ref="E117:E128"/>
  </sortState>
  <tableColumns count="9">
    <tableColumn id="1" name="Religion" totalsRowLabel="Total persons" dataDxfId="1210" totalsRowDxfId="1209"/>
    <tableColumn id="2" name="Birthplace Australia" totalsRowFunction="custom" dataDxfId="1208" totalsRowDxfId="1207" dataCellStyle="Normal 2">
      <totalsRowFormula>C16</totalsRowFormula>
    </tableColumn>
    <tableColumn id="3" name="Overseas" totalsRowFunction="custom" dataDxfId="1206" totalsRowDxfId="1205" dataCellStyle="Normal 2">
      <totalsRowFormula>C17</totalsRowFormula>
    </tableColumn>
    <tableColumn id="4" name="Not stated" totalsRowFunction="custom" dataDxfId="1204" totalsRowDxfId="1203" dataCellStyle="Normal 2">
      <totalsRowFormula>C18</totalsRowFormula>
    </tableColumn>
    <tableColumn id="5" name="Age 01-14" totalsRowLabel="1077" dataDxfId="1202" totalsRowDxfId="1201" dataCellStyle="Normal 2"/>
    <tableColumn id="6" name="15-24" totalsRowLabel="571" dataDxfId="1200" totalsRowDxfId="1199" dataCellStyle="Normal 2"/>
    <tableColumn id="7" name="25-44" totalsRowLabel="1141" dataDxfId="1198" totalsRowDxfId="1197" dataCellStyle="Normal 2"/>
    <tableColumn id="8" name="56-64" totalsRowLabel="715" dataDxfId="1196" totalsRowDxfId="1195" dataCellStyle="Percent 2"/>
    <tableColumn id="9" name="65+" totalsRowLabel="170" dataDxfId="1194" totalsRowDxfId="1193" dataCellStyle="Normal 2"/>
  </tableColumns>
  <tableStyleInfo name="TableStyleLight1" showFirstColumn="0" showLastColumn="0" showRowStripes="1" showColumnStripes="0"/>
</table>
</file>

<file path=xl/tables/table34.xml><?xml version="1.0" encoding="utf-8"?>
<table xmlns="http://schemas.openxmlformats.org/spreadsheetml/2006/main" id="25" name="Table792226811241526" displayName="Table792226811241526" ref="B184:I207" totalsRowCount="1" headerRowDxfId="1192" dataDxfId="1190" totalsRowDxfId="1188" headerRowBorderDxfId="1191" tableBorderDxfId="1189">
  <autoFilter ref="B184:I20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sortState ref="B185:I206">
    <sortCondition descending="1" ref="E132:E146"/>
  </sortState>
  <tableColumns count="8">
    <tableColumn id="1" name="Religion" totalsRowLabel="Total persons" dataDxfId="1187" totalsRowDxfId="1186"/>
    <tableColumn id="2" name="Males" totalsRowLabel="1783" dataDxfId="1185" totalsRowDxfId="1184"/>
    <tableColumn id="3" name="Females" totalsRowLabel="1891" dataDxfId="1183" totalsRowDxfId="1182"/>
    <tableColumn id="4" name="Persons" totalsRowFunction="custom" dataDxfId="1181" totalsRowDxfId="1180">
      <totalsRowFormula>C15</totalsRowFormula>
    </tableColumn>
    <tableColumn id="5" name="% of population" totalsRowLabel="100%" dataDxfId="1179" totalsRowDxfId="1178">
      <calculatedColumnFormula>Table792226811241526[[#This Row],[Persons]]/$C$15</calculatedColumnFormula>
    </tableColumn>
    <tableColumn id="6" name="2011 Census" totalsRowFunction="custom" dataDxfId="1177" totalsRowDxfId="1176">
      <totalsRowFormula>E15</totalsRowFormula>
    </tableColumn>
    <tableColumn id="7" name="Change 2011-2016" totalsRowFunction="custom" dataDxfId="1175" totalsRowDxfId="1174" dataCellStyle="Normal 2">
      <calculatedColumnFormula>IFERROR(Table792226811241526[[#This Row],[Persons]]-Table792226811241526[[#This Row],[2011 Census]],"..")</calculatedColumnFormula>
      <totalsRowFormula>Table792226811241526[[#Totals],[Persons]]-Table792226811241526[[#Totals],[2011 Census]]</totalsRowFormula>
    </tableColumn>
    <tableColumn id="8" name="% change" totalsRowFunction="custom" dataDxfId="1173" totalsRowDxfId="1172">
      <calculatedColumnFormula>IFERROR((Table792226811241526[[#This Row],[Persons]]-Table792226811241526[[#This Row],[2011 Census]])/Table792226811241526[[#This Row],[2011 Census]],"..")</calculatedColumnFormula>
      <totalsRowFormula>(E207-G207)/G207</totalsRowFormula>
    </tableColumn>
  </tableColumns>
  <tableStyleInfo name="TableStyleLight1" showFirstColumn="0" showLastColumn="0" showRowStripes="1" showColumnStripes="0"/>
</table>
</file>

<file path=xl/tables/table35.xml><?xml version="1.0" encoding="utf-8"?>
<table xmlns="http://schemas.openxmlformats.org/spreadsheetml/2006/main" id="79" name="Table552024680" displayName="Table552024680" ref="B30:H42" totalsRowShown="0" headerRowDxfId="1171" dataDxfId="1170" totalsRowDxfId="1168" tableBorderDxfId="1169">
  <autoFilter ref="B30:H42">
    <filterColumn colId="0" hiddenButton="1"/>
    <filterColumn colId="1" hiddenButton="1"/>
    <filterColumn colId="2" hiddenButton="1"/>
    <filterColumn colId="3" hiddenButton="1"/>
    <filterColumn colId="4" hiddenButton="1"/>
    <filterColumn colId="5" hiddenButton="1"/>
    <filterColumn colId="6" hiddenButton="1"/>
  </autoFilter>
  <sortState ref="B31:H40">
    <sortCondition descending="1" ref="E30:E40"/>
  </sortState>
  <tableColumns count="7">
    <tableColumn id="1" name="Birthplace" dataDxfId="1167"/>
    <tableColumn id="12" name="Males 2016" dataDxfId="1166"/>
    <tableColumn id="15" name="Females 2016" dataDxfId="1165"/>
    <tableColumn id="16" name="Persons 2016" dataDxfId="1164"/>
    <tableColumn id="5" name="% of OSB" dataDxfId="1163">
      <calculatedColumnFormula>IFERROR((Table552024680[[#This Row],[Persons 2016]]/$C$17),"..")</calculatedColumnFormula>
    </tableColumn>
    <tableColumn id="27" name="Persons 2011" dataDxfId="1162"/>
    <tableColumn id="8" name="% Change 2011-2016" dataDxfId="1161">
      <calculatedColumnFormula>IFERROR((Table552024680[[#This Row],[Persons 2016]]-Table552024680[[#This Row],[Persons 2011]])/Table552024680[[#This Row],[Persons 2011]],"..")</calculatedColumnFormula>
    </tableColumn>
  </tableColumns>
  <tableStyleInfo name="TableStyleLight1" showFirstColumn="0" showLastColumn="0" showRowStripes="1" showColumnStripes="0"/>
</table>
</file>

<file path=xl/tables/table36.xml><?xml version="1.0" encoding="utf-8"?>
<table xmlns="http://schemas.openxmlformats.org/spreadsheetml/2006/main" id="80" name="Table47911131572125781" displayName="Table47911131572125781" ref="B14:G25" totalsRowShown="0" headerRowDxfId="1160" dataDxfId="1159" tableBorderDxfId="1158">
  <autoFilter ref="B14:G25">
    <filterColumn colId="0" hiddenButton="1"/>
    <filterColumn colId="1" hiddenButton="1"/>
    <filterColumn colId="2" hiddenButton="1"/>
    <filterColumn colId="3" hiddenButton="1"/>
    <filterColumn colId="4" hiddenButton="1"/>
    <filterColumn colId="5" hiddenButton="1"/>
  </autoFilter>
  <tableColumns count="6">
    <tableColumn id="1" name="Summary indicators" dataDxfId="1157"/>
    <tableColumn id="2" name="Persons" dataDxfId="1156"/>
    <tableColumn id="8" name="% of population" dataDxfId="1155">
      <calculatedColumnFormula>SUM(C15/$C$15)</calculatedColumnFormula>
    </tableColumn>
    <tableColumn id="9" name="2011 Census" dataDxfId="1154"/>
    <tableColumn id="10" name="Change 2011-2016" dataDxfId="1153">
      <calculatedColumnFormula>(Table47911131572125781[[#This Row],[Persons]]-Table47911131572125781[[#This Row],[2011 Census]])</calculatedColumnFormula>
    </tableColumn>
    <tableColumn id="11" name="% change" dataDxfId="1152">
      <calculatedColumnFormula>(Table47911131572125781[[#This Row],[Change 2011-2016]]/Table47911131572125781[[#This Row],[2011 Census]])</calculatedColumnFormula>
    </tableColumn>
  </tableColumns>
  <tableStyleInfo name="TableStyleLight1" showFirstColumn="0" showLastColumn="0" showRowStripes="1" showColumnStripes="0"/>
</table>
</file>

<file path=xl/tables/table37.xml><?xml version="1.0" encoding="utf-8"?>
<table xmlns="http://schemas.openxmlformats.org/spreadsheetml/2006/main" id="81" name="Table792226882" displayName="Table792226882" ref="B117:H129" totalsRowCount="1" headerRowDxfId="1151" dataDxfId="1149" totalsRowDxfId="1147" headerRowBorderDxfId="1150" tableBorderDxfId="1148">
  <autoFilter ref="B117:H128">
    <filterColumn colId="0" hiddenButton="1"/>
    <filterColumn colId="1" hiddenButton="1"/>
    <filterColumn colId="2" hiddenButton="1"/>
    <filterColumn colId="3" hiddenButton="1"/>
    <filterColumn colId="4" hiddenButton="1"/>
    <filterColumn colId="5" hiddenButton="1"/>
    <filterColumn colId="6" hiddenButton="1"/>
  </autoFilter>
  <sortState ref="B118:H128">
    <sortCondition descending="1" ref="E117:E128"/>
  </sortState>
  <tableColumns count="7">
    <tableColumn id="1" name="Language" totalsRowLabel="Total LOTE speakers (b)" dataDxfId="1146" totalsRowDxfId="1145"/>
    <tableColumn id="2" name="Males" totalsRowLabel="47" dataDxfId="1144" totalsRowDxfId="1143" dataCellStyle="Normal 2"/>
    <tableColumn id="3" name="Females" totalsRowLabel="52" dataDxfId="1142" totalsRowDxfId="1141" dataCellStyle="Normal 2"/>
    <tableColumn id="4" name="Persons" totalsRowLabel="95" dataDxfId="1140" totalsRowDxfId="1139" dataCellStyle="Normal 2"/>
    <tableColumn id="5" name="% of LOTE speakers" totalsRowLabel="100%" dataDxfId="1138" totalsRowDxfId="1137" dataCellStyle="Normal 2">
      <calculatedColumnFormula>IFERROR(Table792226882[[#This Row],[Persons]]/$C$23,"-")</calculatedColumnFormula>
    </tableColumn>
    <tableColumn id="6" name="2011 Census" totalsRowFunction="custom" dataDxfId="1136" totalsRowDxfId="1135" dataCellStyle="Normal 2">
      <totalsRowFormula>E23</totalsRowFormula>
    </tableColumn>
    <tableColumn id="8" name="% change 2011-2016" totalsRowFunction="custom" dataDxfId="1134" totalsRowDxfId="1133" dataCellStyle="Percent">
      <calculatedColumnFormula>IFERROR(((E118-G118)/G118),"..")</calculatedColumnFormula>
      <totalsRowFormula>(Table792226882[[#Totals],[Persons]]-Table792226882[[#Totals],[2011 Census]])/Table792226882[[#Totals],[2011 Census]]</totalsRowFormula>
    </tableColumn>
  </tableColumns>
  <tableStyleInfo name="TableStyleLight1" showFirstColumn="0" showLastColumn="0" showRowStripes="1" showColumnStripes="0"/>
</table>
</file>

<file path=xl/tables/table38.xml><?xml version="1.0" encoding="utf-8"?>
<table xmlns="http://schemas.openxmlformats.org/spreadsheetml/2006/main" id="82" name="Table3102327983" displayName="Table3102327983" ref="B169:I179" totalsRowShown="0" headerRowDxfId="1132" dataDxfId="1131">
  <autoFilter ref="B169:I17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0" name="Ancestry (c)" dataDxfId="1130" dataCellStyle="Normal 2"/>
    <tableColumn id="9" name="Both parents born in Australia" dataDxfId="1129" dataCellStyle="Normal 2"/>
    <tableColumn id="2" name="Both parents born overseas" dataDxfId="1128" dataCellStyle="Normal 2"/>
    <tableColumn id="3" name="One parent OSB/one parent Aust born" dataDxfId="1127" dataCellStyle="Normal 2"/>
    <tableColumn id="4" name="Not stated - Birthplace for either or both parents not stated" dataDxfId="1126" dataCellStyle="Normal 2"/>
    <tableColumn id="5" name=" " dataDxfId="1125" dataCellStyle="Normal 2"/>
    <tableColumn id="6" name=" 2" dataDxfId="1124" dataCellStyle="Normal 2"/>
    <tableColumn id="7" name=" 3" dataDxfId="1123" dataCellStyle="Normal 2"/>
  </tableColumns>
  <tableStyleInfo name="TableStyleLight1" showFirstColumn="0" showLastColumn="0" showRowStripes="1" showColumnStripes="0"/>
</table>
</file>

<file path=xl/tables/table39.xml><?xml version="1.0" encoding="utf-8"?>
<table xmlns="http://schemas.openxmlformats.org/spreadsheetml/2006/main" id="84" name="Table79222681285" displayName="Table79222681285" ref="B211:J234" totalsRowCount="1" headerRowDxfId="1122" dataDxfId="1120" totalsRowDxfId="1118" headerRowBorderDxfId="1121" tableBorderDxfId="1119">
  <autoFilter ref="B211:J23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sortState ref="B212:I231">
    <sortCondition descending="1" ref="E117:E128"/>
  </sortState>
  <tableColumns count="9">
    <tableColumn id="1" name="Religion" totalsRowLabel="Total persons" dataDxfId="1117" totalsRowDxfId="1116"/>
    <tableColumn id="2" name="Birthplace Australia" totalsRowFunction="custom" dataDxfId="1115" totalsRowDxfId="1114">
      <totalsRowFormula>C16</totalsRowFormula>
    </tableColumn>
    <tableColumn id="3" name="Overseas" totalsRowFunction="custom" dataDxfId="1113" totalsRowDxfId="1112">
      <totalsRowFormula>C17</totalsRowFormula>
    </tableColumn>
    <tableColumn id="4" name="Not stated" totalsRowFunction="custom" dataDxfId="1111" totalsRowDxfId="1110">
      <totalsRowFormula>C18</totalsRowFormula>
    </tableColumn>
    <tableColumn id="5" name="Age 01-14" totalsRowLabel="242" dataDxfId="1109" totalsRowDxfId="1108" dataCellStyle="Normal 2"/>
    <tableColumn id="6" name="15-24" totalsRowLabel="113" dataDxfId="1107" totalsRowDxfId="1106" dataCellStyle="Normal 2"/>
    <tableColumn id="7" name="25-44" totalsRowLabel="255" dataDxfId="1105" totalsRowDxfId="1104" dataCellStyle="Normal 2"/>
    <tableColumn id="8" name="56-64" totalsRowLabel="475" dataDxfId="1103" totalsRowDxfId="1102" dataCellStyle="Percent 2"/>
    <tableColumn id="9" name="65+" totalsRowLabel="235" dataDxfId="1101" totalsRowDxfId="1100" dataCellStyle="Normal 2"/>
  </tableColumns>
  <tableStyleInfo name="TableStyleLight1" showFirstColumn="0" showLastColumn="0" showRowStripes="1" showColumnStripes="0"/>
</table>
</file>

<file path=xl/tables/table4.xml><?xml version="1.0" encoding="utf-8"?>
<table xmlns="http://schemas.openxmlformats.org/spreadsheetml/2006/main" id="11" name="Table11" displayName="Table11" ref="B78:H89" totalsRowShown="0" headerRowDxfId="1616" dataDxfId="1615" tableBorderDxfId="1614" headerRowCellStyle="Normal 3" dataCellStyle="cells">
  <autoFilter ref="B78:H8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Birthplace" dataDxfId="1613" dataCellStyle="rowfield"/>
    <tableColumn id="2" name="0-14" dataDxfId="1612" dataCellStyle="cells"/>
    <tableColumn id="3" name="15-24" dataDxfId="1611" dataCellStyle="cells"/>
    <tableColumn id="4" name="25-44" dataDxfId="1610" dataCellStyle="cells"/>
    <tableColumn id="5" name="45-64" dataDxfId="1609" dataCellStyle="cells"/>
    <tableColumn id="6" name="65+" dataDxfId="1608" dataCellStyle="cells"/>
    <tableColumn id="7" name="Total" dataDxfId="1607" dataCellStyle="Comma 3"/>
  </tableColumns>
  <tableStyleInfo name="TableStyleMedium5" showFirstColumn="0" showLastColumn="0" showRowStripes="1" showColumnStripes="0"/>
</table>
</file>

<file path=xl/tables/table40.xml><?xml version="1.0" encoding="utf-8"?>
<table xmlns="http://schemas.openxmlformats.org/spreadsheetml/2006/main" id="26" name="Table79222681124152627" displayName="Table79222681124152627" ref="B184:I207" totalsRowCount="1" headerRowDxfId="1099" dataDxfId="1097" totalsRowDxfId="1095" headerRowBorderDxfId="1098" tableBorderDxfId="1096">
  <autoFilter ref="B184:I20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sortState ref="B185:I206">
    <sortCondition descending="1" ref="E127:E145"/>
  </sortState>
  <tableColumns count="8">
    <tableColumn id="1" name="Religion" totalsRowLabel="Total persons" dataDxfId="1094" totalsRowDxfId="1093"/>
    <tableColumn id="2" name="Males" totalsRowLabel="694" dataDxfId="1092" totalsRowDxfId="1091"/>
    <tableColumn id="3" name="Females" totalsRowLabel="625" dataDxfId="1090" totalsRowDxfId="1089"/>
    <tableColumn id="4" name="Persons" totalsRowFunction="custom" dataDxfId="1088" totalsRowDxfId="1087">
      <totalsRowFormula>C15</totalsRowFormula>
    </tableColumn>
    <tableColumn id="5" name="% of population" totalsRowLabel="100%" dataDxfId="1086" totalsRowDxfId="1085">
      <calculatedColumnFormula>IFERROR(Table79222681124152627[[#This Row],[Persons]]/$C$15,"..")</calculatedColumnFormula>
    </tableColumn>
    <tableColumn id="6" name="2011 Census" totalsRowFunction="custom" dataDxfId="1084" totalsRowDxfId="1083">
      <totalsRowFormula>E15</totalsRowFormula>
    </tableColumn>
    <tableColumn id="7" name="Change 2011-2016" totalsRowFunction="custom" dataDxfId="1082" totalsRowDxfId="1081" dataCellStyle="Normal 2">
      <calculatedColumnFormula>IFERROR(Table79222681124152627[[#This Row],[Persons]]-Table79222681124152627[[#This Row],[2011 Census]],"..")</calculatedColumnFormula>
      <totalsRowFormula>Table79222681124152627[[#Totals],[Persons]]-Table79222681124152627[[#Totals],[2011 Census]]</totalsRowFormula>
    </tableColumn>
    <tableColumn id="8" name="% change" totalsRowFunction="custom" dataDxfId="1080" totalsRowDxfId="1079">
      <calculatedColumnFormula>IFERROR((Table79222681124152627[[#This Row],[Persons]]-Table79222681124152627[[#This Row],[2011 Census]])/Table79222681124152627[[#This Row],[2011 Census]],"..")</calculatedColumnFormula>
      <totalsRowFormula>Table79222681124152627[[#Totals],[Change 2011-2016]]</totalsRowFormula>
    </tableColumn>
  </tableColumns>
  <tableStyleInfo name="TableStyleLight1" showFirstColumn="0" showLastColumn="0" showRowStripes="1" showColumnStripes="0"/>
</table>
</file>

<file path=xl/tables/table41.xml><?xml version="1.0" encoding="utf-8"?>
<table xmlns="http://schemas.openxmlformats.org/spreadsheetml/2006/main" id="35" name="Table35" displayName="Table35" ref="B13:G24" totalsRowShown="0" headerRowDxfId="1078" dataDxfId="1076" headerRowBorderDxfId="1077" tableBorderDxfId="1075" headerRowCellStyle="Normal 2 8">
  <autoFilter ref="B13:G24">
    <filterColumn colId="0" hiddenButton="1"/>
    <filterColumn colId="1" hiddenButton="1"/>
    <filterColumn colId="2" hiddenButton="1"/>
    <filterColumn colId="3" hiddenButton="1"/>
    <filterColumn colId="4" hiddenButton="1"/>
    <filterColumn colId="5" hiddenButton="1"/>
  </autoFilter>
  <tableColumns count="6">
    <tableColumn id="1" name="Summary indicators" dataDxfId="1074" dataCellStyle="Normal 2 8"/>
    <tableColumn id="2" name="Persons" dataDxfId="1073" dataCellStyle="Comma 3"/>
    <tableColumn id="3" name="% of population" dataDxfId="1072" dataCellStyle="Percent 2 2"/>
    <tableColumn id="4" name="2011 Census" dataDxfId="1071" dataCellStyle="Comma 3"/>
    <tableColumn id="5" name="Change 2016-2011" dataDxfId="1070" dataCellStyle="Comma 3"/>
    <tableColumn id="6" name="% change" dataDxfId="1069" dataCellStyle="Percent 2 2"/>
  </tableColumns>
  <tableStyleInfo name="TableStyleMedium6" showFirstColumn="0" showLastColumn="0" showRowStripes="1" showColumnStripes="0"/>
</table>
</file>

<file path=xl/tables/table42.xml><?xml version="1.0" encoding="utf-8"?>
<table xmlns="http://schemas.openxmlformats.org/spreadsheetml/2006/main" id="36" name="Table36" displayName="Table36" ref="B29:H55" totalsRowShown="0" headerRowDxfId="1068" dataDxfId="1066" headerRowBorderDxfId="1067" tableBorderDxfId="1065" headerRowCellStyle="Normal 2 8" dataCellStyle="cells">
  <autoFilter ref="B29:H5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Birthplace" dataDxfId="1064" dataCellStyle="rowfield"/>
    <tableColumn id="2" name="Males         2016" dataDxfId="1063" dataCellStyle="cells"/>
    <tableColumn id="3" name="Females 2016" dataDxfId="1062" dataCellStyle="cells"/>
    <tableColumn id="4" name="Persons 2016" dataDxfId="1061" dataCellStyle="cells"/>
    <tableColumn id="5" name="% of OSB" dataDxfId="1060" dataCellStyle="Normal 2 8"/>
    <tableColumn id="6" name="Persons 2011" dataDxfId="1059" dataCellStyle="cells"/>
    <tableColumn id="7" name="% Change 2011-2016" dataDxfId="1058" dataCellStyle="Normal 2 8"/>
  </tableColumns>
  <tableStyleInfo name="TableStyleMedium6" showFirstColumn="0" showLastColumn="0" showRowStripes="1" showColumnStripes="0"/>
</table>
</file>

<file path=xl/tables/table43.xml><?xml version="1.0" encoding="utf-8"?>
<table xmlns="http://schemas.openxmlformats.org/spreadsheetml/2006/main" id="44" name="Table44" displayName="Table44" ref="B250:J270" totalsRowShown="0" headerRowDxfId="1057" dataDxfId="1055" headerRowBorderDxfId="1056" tableBorderDxfId="1054" headerRowCellStyle="Normal 2 8" dataCellStyle="cells">
  <autoFilter ref="B250:J27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Religion" dataDxfId="1053" dataCellStyle="rowfield"/>
    <tableColumn id="2" name="Australia" dataDxfId="1052" dataCellStyle="cells"/>
    <tableColumn id="3" name="Overseas" dataDxfId="1051" dataCellStyle="cells"/>
    <tableColumn id="4" name="Not stated" dataDxfId="1050" dataCellStyle="cells"/>
    <tableColumn id="5" name="0-14" dataDxfId="1049" dataCellStyle="cells"/>
    <tableColumn id="6" name="15-24" dataDxfId="1048" dataCellStyle="cells"/>
    <tableColumn id="7" name="25-44" dataDxfId="1047" dataCellStyle="cells"/>
    <tableColumn id="8" name="56-64" dataDxfId="1046" dataCellStyle="cells"/>
    <tableColumn id="9" name="65+" dataDxfId="1045" dataCellStyle="cells"/>
  </tableColumns>
  <tableStyleInfo name="TableStyleMedium6" showFirstColumn="0" showLastColumn="0" showRowStripes="1" showColumnStripes="0"/>
</table>
</file>

<file path=xl/tables/table44.xml><?xml version="1.0" encoding="utf-8"?>
<table xmlns="http://schemas.openxmlformats.org/spreadsheetml/2006/main" id="45" name="Table45" displayName="Table45" ref="B225:I242" totalsRowShown="0" headerRowDxfId="1044" dataDxfId="1043" tableBorderDxfId="1042" headerRowCellStyle="Normal 2 8">
  <autoFilter ref="B225:I24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Religion" dataDxfId="1041" dataCellStyle="rowfield"/>
    <tableColumn id="2" name="Males" dataDxfId="1040" dataCellStyle="cells"/>
    <tableColumn id="3" name="Females" dataDxfId="1039" dataCellStyle="cells"/>
    <tableColumn id="4" name="Persons" dataDxfId="1038" dataCellStyle="cells"/>
    <tableColumn id="5" name="% of population" dataDxfId="1037" dataCellStyle="Normal 2 8"/>
    <tableColumn id="6" name="2011 Census" dataDxfId="1036" dataCellStyle="cells"/>
    <tableColumn id="7" name="Change 2011-2016" dataDxfId="1035" dataCellStyle="Normal 2 8"/>
    <tableColumn id="8" name="% change" dataDxfId="1034" dataCellStyle="Percent 2 2"/>
  </tableColumns>
  <tableStyleInfo name="TableStyleMedium6" showFirstColumn="0" showLastColumn="0" showRowStripes="1" showColumnStripes="0"/>
</table>
</file>

<file path=xl/tables/table45.xml><?xml version="1.0" encoding="utf-8"?>
<table xmlns="http://schemas.openxmlformats.org/spreadsheetml/2006/main" id="46" name="Table46" displayName="Table46" ref="B209:I220" totalsRowShown="0" headerRowDxfId="1033" dataDxfId="1031" headerRowBorderDxfId="1032" tableBorderDxfId="1030" headerRowCellStyle="Normal 2 8" dataCellStyle="cells">
  <autoFilter ref="B209:I22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Ancestry (c)" dataDxfId="1029" dataCellStyle="rowfield"/>
    <tableColumn id="2" name="Both parents born in Australia" dataDxfId="1028" dataCellStyle="cells"/>
    <tableColumn id="3" name="Both parents born overseas" dataDxfId="1027" dataCellStyle="cells"/>
    <tableColumn id="4" name="One parent OSB/one parent Aust born" dataDxfId="1026" dataCellStyle="cells"/>
    <tableColumn id="5" name="Birthplace for either or both parents not stated" dataDxfId="1025" dataCellStyle="cells"/>
    <tableColumn id="6" name=" " dataDxfId="1024" dataCellStyle="cells"/>
    <tableColumn id="7" name="  " dataDxfId="1023" dataCellStyle="cells"/>
    <tableColumn id="8" name="   " dataDxfId="1022" dataCellStyle="Normal 2 8"/>
  </tableColumns>
  <tableStyleInfo name="TableStyleMedium6" showFirstColumn="0" showLastColumn="0" showRowStripes="1" showColumnStripes="0"/>
</table>
</file>

<file path=xl/tables/table46.xml><?xml version="1.0" encoding="utf-8"?>
<table xmlns="http://schemas.openxmlformats.org/spreadsheetml/2006/main" id="91" name="Table552024692" displayName="Table552024692" ref="B30:H42" totalsRowShown="0" headerRowDxfId="1021" dataDxfId="1020" totalsRowDxfId="1018" tableBorderDxfId="1019">
  <autoFilter ref="B30:H42">
    <filterColumn colId="0" hiddenButton="1"/>
    <filterColumn colId="1" hiddenButton="1"/>
    <filterColumn colId="2" hiddenButton="1"/>
    <filterColumn colId="3" hiddenButton="1"/>
    <filterColumn colId="4" hiddenButton="1"/>
    <filterColumn colId="5" hiddenButton="1"/>
    <filterColumn colId="6" hiddenButton="1"/>
  </autoFilter>
  <sortState ref="B31:H40">
    <sortCondition descending="1" ref="E30:E40"/>
  </sortState>
  <tableColumns count="7">
    <tableColumn id="1" name="Birthplace" dataDxfId="1017"/>
    <tableColumn id="12" name="Males 2016" dataDxfId="1016"/>
    <tableColumn id="15" name="Females 2016" dataDxfId="1015"/>
    <tableColumn id="16" name="Persons 2016" dataDxfId="1014"/>
    <tableColumn id="5" name="% of OSB" dataDxfId="1013">
      <calculatedColumnFormula>IFERROR((Table552024692[[#This Row],[Persons 2016]]/$C$17),"..")</calculatedColumnFormula>
    </tableColumn>
    <tableColumn id="27" name="Persons 2011" dataDxfId="1012"/>
    <tableColumn id="8" name="% Change 2011-2016" dataDxfId="1011">
      <calculatedColumnFormula>IFERROR((Table552024692[[#This Row],[Persons 2016]]-Table552024692[[#This Row],[Persons 2011]])/Table552024692[[#This Row],[Persons 2011]],"..")</calculatedColumnFormula>
    </tableColumn>
  </tableColumns>
  <tableStyleInfo name="TableStyleLight1" showFirstColumn="0" showLastColumn="0" showRowStripes="1" showColumnStripes="0"/>
</table>
</file>

<file path=xl/tables/table47.xml><?xml version="1.0" encoding="utf-8"?>
<table xmlns="http://schemas.openxmlformats.org/spreadsheetml/2006/main" id="92" name="Table47911131572125793" displayName="Table47911131572125793" ref="B14:G25" totalsRowShown="0" headerRowDxfId="1010" dataDxfId="1009" tableBorderDxfId="1008">
  <autoFilter ref="B14:G25">
    <filterColumn colId="0" hiddenButton="1"/>
    <filterColumn colId="1" hiddenButton="1"/>
    <filterColumn colId="2" hiddenButton="1"/>
    <filterColumn colId="3" hiddenButton="1"/>
    <filterColumn colId="4" hiddenButton="1"/>
    <filterColumn colId="5" hiddenButton="1"/>
  </autoFilter>
  <tableColumns count="6">
    <tableColumn id="1" name="Summary indicators" dataDxfId="1007"/>
    <tableColumn id="2" name="Persons" dataDxfId="1006"/>
    <tableColumn id="8" name="% of population" dataDxfId="1005">
      <calculatedColumnFormula>(C15/$C$15)</calculatedColumnFormula>
    </tableColumn>
    <tableColumn id="9" name="2011 Census" dataDxfId="1004"/>
    <tableColumn id="10" name="Change 2011-2016" dataDxfId="1003">
      <calculatedColumnFormula>(Table47911131572125793[[#This Row],[Persons]]-Table47911131572125793[[#This Row],[2011 Census]])</calculatedColumnFormula>
    </tableColumn>
    <tableColumn id="11" name="% change" dataDxfId="1002">
      <calculatedColumnFormula>IFERROR(Table47911131572125793[[#This Row],[Change 2011-2016]]/Table47911131572125793[[#This Row],[2011 Census]],"..")</calculatedColumnFormula>
    </tableColumn>
  </tableColumns>
  <tableStyleInfo name="TableStyleLight1" showFirstColumn="0" showLastColumn="0" showRowStripes="1" showColumnStripes="0"/>
</table>
</file>

<file path=xl/tables/table48.xml><?xml version="1.0" encoding="utf-8"?>
<table xmlns="http://schemas.openxmlformats.org/spreadsheetml/2006/main" id="93" name="Table792226894" displayName="Table792226894" ref="B117:H129" totalsRowCount="1" headerRowDxfId="1001" dataDxfId="999" totalsRowDxfId="997" headerRowBorderDxfId="1000" tableBorderDxfId="998">
  <autoFilter ref="B117:H128">
    <filterColumn colId="0" hiddenButton="1"/>
    <filterColumn colId="1" hiddenButton="1"/>
    <filterColumn colId="2" hiddenButton="1"/>
    <filterColumn colId="3" hiddenButton="1"/>
    <filterColumn colId="4" hiddenButton="1"/>
    <filterColumn colId="5" hiddenButton="1"/>
    <filterColumn colId="6" hiddenButton="1"/>
  </autoFilter>
  <sortState ref="B118:H128">
    <sortCondition descending="1" ref="E117:E128"/>
  </sortState>
  <tableColumns count="7">
    <tableColumn id="1" name="Language" totalsRowLabel="Total LOTE speakers (b)" dataDxfId="996" totalsRowDxfId="995"/>
    <tableColumn id="2" name="Males" totalsRowLabel="3994" dataDxfId="994" totalsRowDxfId="993" dataCellStyle="Normal 2"/>
    <tableColumn id="3" name="Females" totalsRowLabel="4070" dataDxfId="992" totalsRowDxfId="991" dataCellStyle="Normal 2"/>
    <tableColumn id="4" name="Persons" totalsRowLabel="8,064" dataDxfId="990" totalsRowDxfId="989" dataCellStyle="Normal 2"/>
    <tableColumn id="5" name="% of LOTE speakers" totalsRowLabel="100%" dataDxfId="988" totalsRowDxfId="987" dataCellStyle="Normal 2">
      <calculatedColumnFormula>IFERROR(Table792226894[[#This Row],[Persons]]/$C$23,"-")</calculatedColumnFormula>
    </tableColumn>
    <tableColumn id="6" name="2011 Census" totalsRowFunction="custom" dataDxfId="986" totalsRowDxfId="985" dataCellStyle="Normal 2">
      <totalsRowFormula>E23</totalsRowFormula>
    </tableColumn>
    <tableColumn id="8" name="% change 2011-2016" totalsRowFunction="custom" dataDxfId="984" totalsRowDxfId="983" dataCellStyle="Percent">
      <calculatedColumnFormula>IFERROR((E118-G118)/G118,"..")</calculatedColumnFormula>
      <totalsRowFormula>(Table792226894[[#Totals],[Persons]]-Table792226894[[#Totals],[2011 Census]])/Table792226894[[#Totals],[2011 Census]]</totalsRowFormula>
    </tableColumn>
  </tableColumns>
  <tableStyleInfo name="TableStyleLight1" showFirstColumn="0" showLastColumn="0" showRowStripes="1" showColumnStripes="0"/>
</table>
</file>

<file path=xl/tables/table49.xml><?xml version="1.0" encoding="utf-8"?>
<table xmlns="http://schemas.openxmlformats.org/spreadsheetml/2006/main" id="94" name="Table3102327995" displayName="Table3102327995" ref="B169:I179" totalsRowShown="0" headerRowDxfId="982" dataDxfId="981">
  <autoFilter ref="B169:I17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0" name="Ancestry (c)" dataDxfId="980" dataCellStyle="Normal 2"/>
    <tableColumn id="9" name="Both parents born in Australia" dataDxfId="979" dataCellStyle="Normal 2"/>
    <tableColumn id="2" name="Both parents born overseas" dataDxfId="978" dataCellStyle="Normal 2"/>
    <tableColumn id="3" name="One parent OSB/one parent Aust born" dataDxfId="977" dataCellStyle="Normal 2"/>
    <tableColumn id="4" name="Not stated - Birthplace for either or both parents not stated" dataDxfId="976" dataCellStyle="Normal 2"/>
    <tableColumn id="5" name=" " dataDxfId="975" dataCellStyle="Normal 2"/>
    <tableColumn id="6" name="   " dataDxfId="974" dataCellStyle="Normal 2"/>
    <tableColumn id="7" name="    " dataDxfId="973" dataCellStyle="Normal 2"/>
  </tableColumns>
  <tableStyleInfo name="TableStyleLight1" showFirstColumn="0" showLastColumn="0" showRowStripes="1" showColumnStripes="0"/>
</table>
</file>

<file path=xl/tables/table5.xml><?xml version="1.0" encoding="utf-8"?>
<table xmlns="http://schemas.openxmlformats.org/spreadsheetml/2006/main" id="27" name="Table27" displayName="Table27" ref="B98:H109" totalsRowShown="0" headerRowDxfId="1606" dataDxfId="1605" tableBorderDxfId="1604" headerRowCellStyle="Normal 3" dataCellStyle="cells 4 2">
  <autoFilter ref="B98:H10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Birthplace" dataDxfId="1603" dataCellStyle="rowfield"/>
    <tableColumn id="2" name="Before 1986" dataDxfId="1602" dataCellStyle="cells 4 2"/>
    <tableColumn id="3" name="1986-1995" dataDxfId="1601" dataCellStyle="cells 4 2"/>
    <tableColumn id="4" name="1996-2005" dataDxfId="1600" dataCellStyle="cells 4 2"/>
    <tableColumn id="5" name="2006-2015" dataDxfId="1599" dataCellStyle="cells 4 2"/>
    <tableColumn id="6" name="2016" dataDxfId="1598" dataCellStyle="cells 4 2"/>
    <tableColumn id="7" name="Total (a)" dataDxfId="1597" dataCellStyle="Comma 3"/>
  </tableColumns>
  <tableStyleInfo name="TableStyleMedium5" showFirstColumn="0" showLastColumn="0" showRowStripes="1" showColumnStripes="0"/>
</table>
</file>

<file path=xl/tables/table50.xml><?xml version="1.0" encoding="utf-8"?>
<table xmlns="http://schemas.openxmlformats.org/spreadsheetml/2006/main" id="95" name="Table79222681196" displayName="Table79222681196" ref="B184:I207" totalsRowCount="1" headerRowDxfId="972" dataDxfId="970" totalsRowDxfId="968" headerRowBorderDxfId="971" tableBorderDxfId="969">
  <autoFilter ref="B184:I20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sortState ref="B185:I206">
    <sortCondition descending="1" ref="E117:E128"/>
  </sortState>
  <tableColumns count="8">
    <tableColumn id="1" name="Religion" totalsRowLabel="Total persons" dataDxfId="967" totalsRowDxfId="966"/>
    <tableColumn id="2" name="Males" totalsRowLabel="4478" dataDxfId="965" totalsRowDxfId="964"/>
    <tableColumn id="3" name="Females" totalsRowLabel="4547" dataDxfId="963" totalsRowDxfId="962"/>
    <tableColumn id="4" name="Persons" totalsRowFunction="custom" dataDxfId="961" totalsRowDxfId="960">
      <totalsRowFormula>C15</totalsRowFormula>
    </tableColumn>
    <tableColumn id="5" name="% of population" totalsRowLabel="100%" dataDxfId="959" totalsRowDxfId="958">
      <calculatedColumnFormula>SUM(Table79222681196[[#This Row],[Persons]]/$C$15)</calculatedColumnFormula>
    </tableColumn>
    <tableColumn id="6" name="2011 Census" totalsRowFunction="custom" dataDxfId="957" totalsRowDxfId="956">
      <totalsRowFormula>E15</totalsRowFormula>
    </tableColumn>
    <tableColumn id="7" name="Change 2011-2016" totalsRowFunction="custom" dataDxfId="955" totalsRowDxfId="954">
      <calculatedColumnFormula>Table79222681196[[#This Row],[Persons]]-Table79222681196[[#This Row],[2011 Census]]</calculatedColumnFormula>
      <totalsRowFormula>SUM(Table79222681196[[#Totals],[Persons]]-Table79222681196[[#Totals],[2011 Census]])</totalsRowFormula>
    </tableColumn>
    <tableColumn id="8" name="% change" totalsRowFunction="custom" dataDxfId="953" totalsRowDxfId="952">
      <calculatedColumnFormula>IFERROR((E185-G185)/G185,"..")</calculatedColumnFormula>
      <totalsRowFormula>SUM((Table79222681196[[#Totals],[Persons]]-Table79222681196[[#Totals],[2011 Census]])/Table79222681196[[#Totals],[2011 Census]])</totalsRowFormula>
    </tableColumn>
  </tableColumns>
  <tableStyleInfo name="TableStyleLight1" showFirstColumn="0" showLastColumn="0" showRowStripes="1" showColumnStripes="0"/>
</table>
</file>

<file path=xl/tables/table51.xml><?xml version="1.0" encoding="utf-8"?>
<table xmlns="http://schemas.openxmlformats.org/spreadsheetml/2006/main" id="96" name="Table79222681297" displayName="Table79222681297" ref="B211:J234" totalsRowCount="1" headerRowDxfId="951" dataDxfId="949" totalsRowDxfId="947" headerRowBorderDxfId="950" tableBorderDxfId="948">
  <autoFilter ref="B211:J23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sortState ref="B212:I232">
    <sortCondition descending="1" ref="E117:E128"/>
  </sortState>
  <tableColumns count="9">
    <tableColumn id="1" name="Religion" totalsRowLabel="Total persons" dataDxfId="946" totalsRowDxfId="945" dataCellStyle="Normal 2"/>
    <tableColumn id="2" name="Birthplace Australia" totalsRowFunction="custom" dataDxfId="944" totalsRowDxfId="943" dataCellStyle="Normal 2">
      <totalsRowFormula>C16</totalsRowFormula>
    </tableColumn>
    <tableColumn id="3" name="Overseas" totalsRowFunction="custom" dataDxfId="942" totalsRowDxfId="941" dataCellStyle="Normal 2">
      <totalsRowFormula>C17</totalsRowFormula>
    </tableColumn>
    <tableColumn id="4" name="Not stated" totalsRowFunction="custom" dataDxfId="940" totalsRowDxfId="939" dataCellStyle="Normal 2">
      <totalsRowFormula>C18</totalsRowFormula>
    </tableColumn>
    <tableColumn id="5" name="Age 01-14" totalsRowLabel="2589" dataDxfId="938" totalsRowDxfId="937" dataCellStyle="Normal 2"/>
    <tableColumn id="6" name="15-24" totalsRowLabel="1810" dataDxfId="936" totalsRowDxfId="935" dataCellStyle="Normal 2"/>
    <tableColumn id="7" name="25-44" totalsRowLabel="2847" dataDxfId="934" totalsRowDxfId="933" dataCellStyle="Normal 2"/>
    <tableColumn id="8" name="56-64" totalsRowLabel="1512" dataDxfId="932" totalsRowDxfId="931" dataCellStyle="Percent 2"/>
    <tableColumn id="9" name="65+" totalsRowLabel="263" dataDxfId="930" totalsRowDxfId="929" dataCellStyle="Normal 2"/>
  </tableColumns>
  <tableStyleInfo name="TableStyleLight1" showFirstColumn="0" showLastColumn="0" showRowStripes="1" showColumnStripes="0"/>
</table>
</file>

<file path=xl/tables/table52.xml><?xml version="1.0" encoding="utf-8"?>
<table xmlns="http://schemas.openxmlformats.org/spreadsheetml/2006/main" id="103" name="Table55202469298104" displayName="Table55202469298104" ref="B30:H52" totalsRowShown="0" headerRowDxfId="928" dataDxfId="926" totalsRowDxfId="925" headerRowBorderDxfId="927">
  <autoFilter ref="B30:H52">
    <filterColumn colId="0" hiddenButton="1"/>
    <filterColumn colId="1" hiddenButton="1"/>
    <filterColumn colId="2" hiddenButton="1"/>
    <filterColumn colId="3" hiddenButton="1"/>
    <filterColumn colId="4" hiddenButton="1"/>
    <filterColumn colId="5" hiddenButton="1"/>
    <filterColumn colId="6" hiddenButton="1"/>
  </autoFilter>
  <sortState ref="B31:H50">
    <sortCondition descending="1" ref="E30:E50"/>
  </sortState>
  <tableColumns count="7">
    <tableColumn id="1" name="Birthplace" dataDxfId="924"/>
    <tableColumn id="12" name="Males 2016" dataDxfId="923"/>
    <tableColumn id="15" name="Females 2016" dataDxfId="922"/>
    <tableColumn id="16" name="Persons 2016" dataDxfId="921"/>
    <tableColumn id="5" name="% of OSB" dataDxfId="920">
      <calculatedColumnFormula>(Table55202469298104[[#This Row],[Persons 2016]]/$C$17)</calculatedColumnFormula>
    </tableColumn>
    <tableColumn id="27" name="Persons 2011" dataDxfId="919"/>
    <tableColumn id="8" name="% Change 2011-2016" dataDxfId="918">
      <calculatedColumnFormula>IFERROR((Table55202469298104[[#This Row],[Persons 2016]]-Table55202469298104[[#This Row],[Persons 2011]])/Table55202469298104[[#This Row],[Persons 2011]],"..")</calculatedColumnFormula>
    </tableColumn>
  </tableColumns>
  <tableStyleInfo name="TableStyleLight1" showFirstColumn="0" showLastColumn="0" showRowStripes="1" showColumnStripes="0"/>
</table>
</file>

<file path=xl/tables/table53.xml><?xml version="1.0" encoding="utf-8"?>
<table xmlns="http://schemas.openxmlformats.org/spreadsheetml/2006/main" id="104" name="Table4791113157212579399105" displayName="Table4791113157212579399105" ref="B14:G25" totalsRowShown="0" headerRowDxfId="917" dataDxfId="916" tableBorderDxfId="915">
  <autoFilter ref="B14:G25">
    <filterColumn colId="0" hiddenButton="1"/>
    <filterColumn colId="1" hiddenButton="1"/>
    <filterColumn colId="2" hiddenButton="1"/>
    <filterColumn colId="3" hiddenButton="1"/>
    <filterColumn colId="4" hiddenButton="1"/>
    <filterColumn colId="5" hiddenButton="1"/>
  </autoFilter>
  <tableColumns count="6">
    <tableColumn id="1" name="Summary indicators" dataDxfId="914"/>
    <tableColumn id="2" name="Persons" dataDxfId="913" dataCellStyle="Normal 2"/>
    <tableColumn id="8" name="% of population" dataDxfId="912">
      <calculatedColumnFormula>(C15/$C$15)</calculatedColumnFormula>
    </tableColumn>
    <tableColumn id="9" name="2011 Census" dataDxfId="911"/>
    <tableColumn id="10" name="Change 2011-2016" dataDxfId="910">
      <calculatedColumnFormula>(Table4791113157212579399105[[#This Row],[Persons]]-Table4791113157212579399105[[#This Row],[2011 Census]])</calculatedColumnFormula>
    </tableColumn>
    <tableColumn id="11" name="% change" dataDxfId="909">
      <calculatedColumnFormula>(Table4791113157212579399105[[#This Row],[Change 2011-2016]]/Table4791113157212579399105[[#This Row],[2011 Census]])</calculatedColumnFormula>
    </tableColumn>
  </tableColumns>
  <tableStyleInfo name="TableStyleLight1" showFirstColumn="0" showLastColumn="0" showRowStripes="1" showColumnStripes="0"/>
</table>
</file>

<file path=xl/tables/table54.xml><?xml version="1.0" encoding="utf-8"?>
<table xmlns="http://schemas.openxmlformats.org/spreadsheetml/2006/main" id="105" name="Table792226894100106" displayName="Table792226894100106" ref="B127:H149" totalsRowCount="1" headerRowDxfId="908" dataDxfId="906" totalsRowDxfId="904" headerRowBorderDxfId="907" tableBorderDxfId="905">
  <autoFilter ref="B127:H148"/>
  <sortState ref="B128:H148">
    <sortCondition descending="1" ref="E127:E148"/>
  </sortState>
  <tableColumns count="7">
    <tableColumn id="1" name="Language" totalsRowLabel="Total LOTE speakers (b)" dataDxfId="903" totalsRowDxfId="902"/>
    <tableColumn id="2" name="Males" totalsRowLabel="677" dataDxfId="901" totalsRowDxfId="900" dataCellStyle="Normal 2"/>
    <tableColumn id="3" name="Females" totalsRowLabel="717" dataDxfId="899" totalsRowDxfId="898" dataCellStyle="Normal 2"/>
    <tableColumn id="4" name="Persons" totalsRowLabel="1,404" dataDxfId="897" totalsRowDxfId="896" dataCellStyle="Normal 2"/>
    <tableColumn id="5" name="% of LOTE speakers" totalsRowLabel="100%" dataDxfId="895" totalsRowDxfId="894" dataCellStyle="Normal 2">
      <calculatedColumnFormula>IFERROR(Table792226894100106[[#This Row],[Persons]]/$C$23,"..")</calculatedColumnFormula>
    </tableColumn>
    <tableColumn id="6" name="2011 Census" totalsRowFunction="custom" dataDxfId="893" totalsRowDxfId="892" dataCellStyle="Normal 2">
      <totalsRowFormula>E23</totalsRowFormula>
    </tableColumn>
    <tableColumn id="8" name="% change 2011-2016" totalsRowFunction="custom" dataDxfId="891" totalsRowDxfId="890" dataCellStyle="Percent">
      <calculatedColumnFormula>IFERROR(((E128-G128)/G128),"..")</calculatedColumnFormula>
      <totalsRowFormula>(Table792226894100106[[#Totals],[Persons]]-G149)/G149</totalsRowFormula>
    </tableColumn>
  </tableColumns>
  <tableStyleInfo name="TableStyleLight1" showFirstColumn="0" showLastColumn="0" showRowStripes="1" showColumnStripes="0"/>
</table>
</file>

<file path=xl/tables/table55.xml><?xml version="1.0" encoding="utf-8"?>
<table xmlns="http://schemas.openxmlformats.org/spreadsheetml/2006/main" id="106" name="Table3102327995101107" displayName="Table3102327995101107" ref="B189:I199" totalsRowShown="0" headerRowDxfId="889" dataDxfId="888">
  <autoFilter ref="B189:I19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0" name="Ancestry (c)" dataDxfId="887" dataCellStyle="Normal 2"/>
    <tableColumn id="9" name="Both parents born in Australia" dataDxfId="886" dataCellStyle="Normal 2"/>
    <tableColumn id="2" name="Both parents born overseas" dataDxfId="885" dataCellStyle="Normal 2"/>
    <tableColumn id="3" name="One parent OSB/one parent Aust born" dataDxfId="884" dataCellStyle="Normal 2"/>
    <tableColumn id="4" name="Not stated - Birthplace for either or both parents not stated" dataDxfId="883" dataCellStyle="Normal 2"/>
    <tableColumn id="5" name=" " dataDxfId="882" dataCellStyle="Normal 2"/>
    <tableColumn id="6" name="   " dataDxfId="881" dataCellStyle="Normal 2"/>
    <tableColumn id="7" name="    " dataDxfId="880" dataCellStyle="Normal 2"/>
  </tableColumns>
  <tableStyleInfo name="TableStyleLight1" showFirstColumn="0" showLastColumn="0" showRowStripes="1" showColumnStripes="0"/>
</table>
</file>

<file path=xl/tables/table56.xml><?xml version="1.0" encoding="utf-8"?>
<table xmlns="http://schemas.openxmlformats.org/spreadsheetml/2006/main" id="107" name="Table79222681196102108" displayName="Table79222681196102108" ref="B204:I227" totalsRowCount="1" headerRowDxfId="879" dataDxfId="877" totalsRowDxfId="875" headerRowBorderDxfId="878" tableBorderDxfId="876">
  <autoFilter ref="B204:I22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sortState ref="B205:I226">
    <sortCondition descending="1" ref="E127:E148"/>
  </sortState>
  <tableColumns count="8">
    <tableColumn id="1" name="Religion" totalsRowLabel="Total persons" dataDxfId="874" totalsRowDxfId="873"/>
    <tableColumn id="2" name="Males" totalsRowLabel="5067" dataDxfId="872" totalsRowDxfId="871" dataCellStyle="Normal 2"/>
    <tableColumn id="3" name="Females" totalsRowLabel="4659" dataDxfId="870" totalsRowDxfId="869" dataCellStyle="Normal 2"/>
    <tableColumn id="4" name="Persons" totalsRowFunction="custom" dataDxfId="868" totalsRowDxfId="867" dataCellStyle="Normal 2">
      <totalsRowFormula>C15</totalsRowFormula>
    </tableColumn>
    <tableColumn id="5" name="% of population" totalsRowLabel="100%" dataDxfId="866" totalsRowDxfId="865" dataCellStyle="Normal 2">
      <calculatedColumnFormula>SUM(Table79222681196102108[[#This Row],[Persons]]/$C$15)</calculatedColumnFormula>
    </tableColumn>
    <tableColumn id="6" name="2011 Census" totalsRowFunction="custom" dataDxfId="864" totalsRowDxfId="863" dataCellStyle="Normal 2">
      <totalsRowFormula>E15</totalsRowFormula>
    </tableColumn>
    <tableColumn id="7" name="Change 2011-2016" totalsRowFunction="custom" dataDxfId="862" totalsRowDxfId="861" dataCellStyle="Normal 2">
      <calculatedColumnFormula>Table79222681196102108[[#This Row],[Persons]]-Table79222681196102108[[#This Row],[2011 Census]]</calculatedColumnFormula>
      <totalsRowFormula>SUM(Table79222681196102108[[#Totals],[Persons]]-Table79222681196102108[[#Totals],[2011 Census]])</totalsRowFormula>
    </tableColumn>
    <tableColumn id="8" name="% change" totalsRowFunction="custom" dataDxfId="860" totalsRowDxfId="859" dataCellStyle="Percent 2">
      <calculatedColumnFormula>IFERROR((Table79222681196102108[[#This Row],[Persons]]-Table79222681196102108[[#This Row],[2011 Census]])/Table79222681196102108[[#This Row],[2011 Census]],"..")</calculatedColumnFormula>
      <totalsRowFormula>SUM((Table79222681196102108[[#Totals],[Persons]]-Table79222681196102108[[#Totals],[2011 Census]])/Table79222681196102108[[#Totals],[2011 Census]])</totalsRowFormula>
    </tableColumn>
  </tableColumns>
  <tableStyleInfo name="TableStyleLight1" showFirstColumn="0" showLastColumn="0" showRowStripes="1" showColumnStripes="0"/>
</table>
</file>

<file path=xl/tables/table57.xml><?xml version="1.0" encoding="utf-8"?>
<table xmlns="http://schemas.openxmlformats.org/spreadsheetml/2006/main" id="108" name="Table79222681297103109" displayName="Table79222681297103109" ref="B231:J254" totalsRowCount="1" headerRowDxfId="858" dataDxfId="856" totalsRowDxfId="854" headerRowBorderDxfId="857" tableBorderDxfId="855">
  <autoFilter ref="B231:J25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sortState ref="B232:I250">
    <sortCondition descending="1" ref="E127:E148"/>
  </sortState>
  <tableColumns count="9">
    <tableColumn id="1" name="Religion" totalsRowLabel="Total persons" dataDxfId="853" totalsRowDxfId="852"/>
    <tableColumn id="2" name="Birthplace Australia" dataDxfId="851" totalsRowDxfId="850"/>
    <tableColumn id="3" name="Overseas" dataDxfId="849" totalsRowDxfId="848"/>
    <tableColumn id="4" name="Not stated" dataDxfId="847" totalsRowDxfId="846"/>
    <tableColumn id="5" name="Age 01-14" totalsRowLabel="2191" dataDxfId="845" totalsRowDxfId="844" dataCellStyle="Normal 2"/>
    <tableColumn id="6" name="15-24" totalsRowLabel="1218" dataDxfId="843" totalsRowDxfId="842" dataCellStyle="Normal 2"/>
    <tableColumn id="7" name="25-44" totalsRowLabel="3022" dataDxfId="841" totalsRowDxfId="840" dataCellStyle="Normal 2"/>
    <tableColumn id="8" name="56-64" totalsRowLabel="2457" dataDxfId="839" totalsRowDxfId="838" dataCellStyle="Percent 2"/>
    <tableColumn id="9" name="65+" totalsRowLabel="827" dataDxfId="837" totalsRowDxfId="836" dataCellStyle="Normal 2"/>
  </tableColumns>
  <tableStyleInfo name="TableStyleLight1" showFirstColumn="0" showLastColumn="0" showRowStripes="1" showColumnStripes="0"/>
</table>
</file>

<file path=xl/tables/table58.xml><?xml version="1.0" encoding="utf-8"?>
<table xmlns="http://schemas.openxmlformats.org/spreadsheetml/2006/main" id="42" name="Table42" displayName="Table42" ref="B12:G23" totalsRowShown="0" headerRowDxfId="835" dataDxfId="834" tableBorderDxfId="833" headerRowCellStyle="Normal 2 8" dataCellStyle="Comma 3">
  <autoFilter ref="B12:G23">
    <filterColumn colId="0" hiddenButton="1"/>
    <filterColumn colId="1" hiddenButton="1"/>
    <filterColumn colId="2" hiddenButton="1"/>
    <filterColumn colId="3" hiddenButton="1"/>
    <filterColumn colId="4" hiddenButton="1"/>
    <filterColumn colId="5" hiddenButton="1"/>
  </autoFilter>
  <tableColumns count="6">
    <tableColumn id="1" name="Summary indicators" dataDxfId="832" dataCellStyle="Normal 2 8"/>
    <tableColumn id="2" name="Persons" dataDxfId="831" dataCellStyle="Comma 3"/>
    <tableColumn id="3" name="% of population" dataDxfId="830" dataCellStyle="Comma 3">
      <calculatedColumnFormula>C13/$C$13*100</calculatedColumnFormula>
    </tableColumn>
    <tableColumn id="4" name="2011 Census" dataDxfId="829" dataCellStyle="Comma 3"/>
    <tableColumn id="5" name="Change 2016-2011" dataDxfId="828" dataCellStyle="Comma 3">
      <calculatedColumnFormula>(Table42[[#This Row],[Persons]]-Table42[[#This Row],[2011 Census]])</calculatedColumnFormula>
    </tableColumn>
    <tableColumn id="6" name="% change" dataDxfId="827" dataCellStyle="Normal 3">
      <calculatedColumnFormula>(Table42[[#This Row],[Persons]]-Table42[[#This Row],[2011 Census]])/Table42[[#This Row],[2011 Census]]</calculatedColumnFormula>
    </tableColumn>
  </tableColumns>
  <tableStyleInfo name="TableStyleMedium6" showFirstColumn="0" showLastColumn="0" showRowStripes="1" showColumnStripes="0"/>
</table>
</file>

<file path=xl/tables/table59.xml><?xml version="1.0" encoding="utf-8"?>
<table xmlns="http://schemas.openxmlformats.org/spreadsheetml/2006/main" id="43" name="Table43" displayName="Table43" ref="B28:H54" totalsRowShown="0" headerRowDxfId="826" dataDxfId="825" tableBorderDxfId="824" headerRowCellStyle="Normal 2 8" dataCellStyle="cells 4 2">
  <autoFilter ref="B28:H5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Birthplace" dataDxfId="823" dataCellStyle="rowfield 4"/>
    <tableColumn id="2" name="Males" dataDxfId="822" dataCellStyle="cells 4 2"/>
    <tableColumn id="3" name="Females " dataDxfId="821" dataCellStyle="cells 4 2"/>
    <tableColumn id="4" name="Persons " dataDxfId="820" dataCellStyle="cells 4 2"/>
    <tableColumn id="5" name="% of OSB" dataDxfId="819" dataCellStyle="cells 4 2"/>
    <tableColumn id="6" name="2011 Census" dataDxfId="818" dataCellStyle="Comma 3"/>
    <tableColumn id="7" name="% Change 2011-2016" dataDxfId="817" dataCellStyle="Normal 3"/>
  </tableColumns>
  <tableStyleInfo name="TableStyleMedium6" showFirstColumn="0" showLastColumn="0" showRowStripes="1" showColumnStripes="0"/>
</table>
</file>

<file path=xl/tables/table6.xml><?xml version="1.0" encoding="utf-8"?>
<table xmlns="http://schemas.openxmlformats.org/spreadsheetml/2006/main" id="28" name="Table28" displayName="Table28" ref="B115:H126" totalsRowShown="0" headerRowDxfId="1596" dataDxfId="1594" headerRowBorderDxfId="1595" tableBorderDxfId="1593" headerRowCellStyle="Normal 3" dataCellStyle="cells 4 2">
  <autoFilter ref="B115:H126">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Birthplace" dataDxfId="1592" dataCellStyle="rowfield"/>
    <tableColumn id="2" name="Before 1986" dataDxfId="1591" dataCellStyle="cells 4 2"/>
    <tableColumn id="3" name="1986-1995" dataDxfId="1590" dataCellStyle="cells 4 2"/>
    <tableColumn id="4" name="1996-2005" dataDxfId="1589" dataCellStyle="cells 4 2"/>
    <tableColumn id="5" name="2006-2015" dataDxfId="1588" dataCellStyle="cells 4 2"/>
    <tableColumn id="6" name="2016" dataDxfId="1587" dataCellStyle="cells 4 2"/>
    <tableColumn id="7" name="Total (a)" dataDxfId="1586" dataCellStyle="Comma 3"/>
  </tableColumns>
  <tableStyleInfo name="TableStyleMedium5" showFirstColumn="0" showLastColumn="0" showRowStripes="1" showColumnStripes="0"/>
</table>
</file>

<file path=xl/tables/table60.xml><?xml version="1.0" encoding="utf-8"?>
<table xmlns="http://schemas.openxmlformats.org/spreadsheetml/2006/main" id="47" name="Table47" displayName="Table47" ref="B62:H72" totalsRowShown="0" headerRowDxfId="816" dataDxfId="814" headerRowBorderDxfId="815" tableBorderDxfId="813" headerRowCellStyle="Normal 2 8" dataCellStyle="cells">
  <autoFilter ref="B62:H72">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Birthplace" dataDxfId="812" dataCellStyle="rowfield"/>
    <tableColumn id="2" name="0-14" dataDxfId="811" dataCellStyle="cells"/>
    <tableColumn id="3" name="15-24" dataDxfId="810" dataCellStyle="cells"/>
    <tableColumn id="4" name="25-44" dataDxfId="809" dataCellStyle="cells"/>
    <tableColumn id="5" name="45-64" dataDxfId="808" dataCellStyle="cells"/>
    <tableColumn id="6" name="65+" dataDxfId="807" dataCellStyle="cells"/>
    <tableColumn id="7" name="Total" dataDxfId="806" dataCellStyle="cells 4 2"/>
  </tableColumns>
  <tableStyleInfo name="TableStyleMedium6" showFirstColumn="0" showLastColumn="0" showRowStripes="1" showColumnStripes="0"/>
</table>
</file>

<file path=xl/tables/table61.xml><?xml version="1.0" encoding="utf-8"?>
<table xmlns="http://schemas.openxmlformats.org/spreadsheetml/2006/main" id="48" name="Table48" displayName="Table48" ref="B80:H90" totalsRowShown="0" headerRowDxfId="805" dataDxfId="803" headerRowBorderDxfId="804" tableBorderDxfId="802" headerRowCellStyle="Normal 2 8" dataCellStyle="cells">
  <autoFilter ref="B80:H9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Birthplace" dataDxfId="801" dataCellStyle="rowfield"/>
    <tableColumn id="2" name="0-14" dataDxfId="800" dataCellStyle="cells"/>
    <tableColumn id="3" name="15-24" dataDxfId="799" dataCellStyle="cells"/>
    <tableColumn id="4" name="25-44" dataDxfId="798" dataCellStyle="cells"/>
    <tableColumn id="5" name="45-64" dataDxfId="797" dataCellStyle="cells"/>
    <tableColumn id="6" name="65+" dataDxfId="796" dataCellStyle="cells"/>
    <tableColumn id="7" name="Total" dataDxfId="795" dataCellStyle="cells 4 2"/>
  </tableColumns>
  <tableStyleInfo name="TableStyleMedium6" showFirstColumn="0" showLastColumn="0" showRowStripes="1" showColumnStripes="0"/>
</table>
</file>

<file path=xl/tables/table62.xml><?xml version="1.0" encoding="utf-8"?>
<table xmlns="http://schemas.openxmlformats.org/spreadsheetml/2006/main" id="49" name="Table49" displayName="Table49" ref="B98:I108" totalsRowShown="0" headerRowDxfId="794" dataDxfId="792" headerRowBorderDxfId="793" tableBorderDxfId="791" headerRowCellStyle="Normal 2 8" dataCellStyle="cells">
  <autoFilter ref="B98:I10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Birthplace" dataDxfId="790" dataCellStyle="rowfield"/>
    <tableColumn id="2" name="Before 1986" dataDxfId="789" dataCellStyle="cells"/>
    <tableColumn id="3" name="1986-1995" dataDxfId="788" dataCellStyle="cells"/>
    <tableColumn id="4" name="1996-2005" dataDxfId="787" dataCellStyle="cells"/>
    <tableColumn id="5" name="2006-2010" dataDxfId="786" dataCellStyle="cells"/>
    <tableColumn id="6" name="2010-2015" dataDxfId="785" dataCellStyle="cells"/>
    <tableColumn id="7" name="2016" dataDxfId="784" dataCellStyle="cells"/>
    <tableColumn id="8" name="Total" dataDxfId="783" dataCellStyle="cells 4 2"/>
  </tableColumns>
  <tableStyleInfo name="TableStyleMedium6" showFirstColumn="0" showLastColumn="0" showRowStripes="1" showColumnStripes="0"/>
</table>
</file>

<file path=xl/tables/table63.xml><?xml version="1.0" encoding="utf-8"?>
<table xmlns="http://schemas.openxmlformats.org/spreadsheetml/2006/main" id="50" name="Table50" displayName="Table50" ref="B113:I123" totalsRowShown="0" headerRowDxfId="782" dataDxfId="781" tableBorderDxfId="780" headerRowCellStyle="Normal 2 8" dataCellStyle="Percent 2 2">
  <autoFilter ref="B113:I12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Birthplace" dataDxfId="779" dataCellStyle="rowfield"/>
    <tableColumn id="2" name="Before 1986" dataDxfId="778" dataCellStyle="Percent 2 2"/>
    <tableColumn id="3" name="1986-1995" dataDxfId="777" dataCellStyle="Percent 2 2"/>
    <tableColumn id="4" name="1996-2005" dataDxfId="776" dataCellStyle="Percent 2 2"/>
    <tableColumn id="5" name="2006-2010" dataDxfId="775" dataCellStyle="Percent 2 2"/>
    <tableColumn id="6" name="2010-2015" dataDxfId="774" dataCellStyle="Percent 2 2"/>
    <tableColumn id="7" name="2016" dataDxfId="773" dataCellStyle="Percent 2 2"/>
    <tableColumn id="8" name="Total" dataDxfId="772" dataCellStyle="cells 4 2"/>
  </tableColumns>
  <tableStyleInfo name="TableStyleMedium6" showFirstColumn="0" showLastColumn="0" showRowStripes="1" showColumnStripes="0"/>
</table>
</file>

<file path=xl/tables/table64.xml><?xml version="1.0" encoding="utf-8"?>
<table xmlns="http://schemas.openxmlformats.org/spreadsheetml/2006/main" id="51" name="Table51" displayName="Table51" ref="B127:H148" totalsRowShown="0" headerRowDxfId="771" dataDxfId="769" headerRowBorderDxfId="770" tableBorderDxfId="768" headerRowCellStyle="Normal 2 8">
  <autoFilter ref="B127:H14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Language" dataDxfId="767" dataCellStyle="rowfield 4"/>
    <tableColumn id="2" name="Males" dataDxfId="766" dataCellStyle="cells 4 2"/>
    <tableColumn id="3" name="Females" dataDxfId="765" dataCellStyle="cells 4 2"/>
    <tableColumn id="4" name="Persons" dataDxfId="764" dataCellStyle="cells 4 2"/>
    <tableColumn id="5" name="% of LOTE speakers" dataDxfId="763" dataCellStyle="Normal 2 8"/>
    <tableColumn id="6" name="2011 Census" dataDxfId="762" dataCellStyle="cells"/>
    <tableColumn id="7" name="% change 2011-2016" dataDxfId="761" dataCellStyle="Percent 2 2"/>
  </tableColumns>
  <tableStyleInfo name="TableStyleMedium6" showFirstColumn="0" showLastColumn="0" showRowStripes="1" showColumnStripes="0"/>
</table>
</file>

<file path=xl/tables/table65.xml><?xml version="1.0" encoding="utf-8"?>
<table xmlns="http://schemas.openxmlformats.org/spreadsheetml/2006/main" id="109" name="Table55202469298104110" displayName="Table55202469298104110" ref="B30:H42" totalsRowShown="0" headerRowDxfId="760" dataDxfId="759" totalsRowDxfId="757" tableBorderDxfId="758">
  <autoFilter ref="B30:H42">
    <filterColumn colId="0" hiddenButton="1"/>
    <filterColumn colId="1" hiddenButton="1"/>
    <filterColumn colId="2" hiddenButton="1"/>
    <filterColumn colId="3" hiddenButton="1"/>
    <filterColumn colId="4" hiddenButton="1"/>
    <filterColumn colId="5" hiddenButton="1"/>
    <filterColumn colId="6" hiddenButton="1"/>
  </autoFilter>
  <sortState ref="B31:H40">
    <sortCondition descending="1" ref="E30:E40"/>
  </sortState>
  <tableColumns count="7">
    <tableColumn id="1" name="Birthplace" dataDxfId="756"/>
    <tableColumn id="12" name="Males 2016" dataDxfId="755"/>
    <tableColumn id="15" name="Females 2016" dataDxfId="754"/>
    <tableColumn id="16" name="Persons 2016" dataDxfId="753"/>
    <tableColumn id="5" name="% of OSB" dataDxfId="752">
      <calculatedColumnFormula>IFERROR((Table55202469298104110[[#This Row],[Persons 2016]]/$C$17),"..")</calculatedColumnFormula>
    </tableColumn>
    <tableColumn id="27" name="Persons 2011" dataDxfId="751"/>
    <tableColumn id="8" name="% Change 2011-2016" dataDxfId="750">
      <calculatedColumnFormula>IFERROR((Table55202469298104110[[#This Row],[Persons 2016]]-Table55202469298104110[[#This Row],[Persons 2011]])/Table55202469298104110[[#This Row],[Persons 2011]],"..")</calculatedColumnFormula>
    </tableColumn>
  </tableColumns>
  <tableStyleInfo name="TableStyleLight1" showFirstColumn="0" showLastColumn="0" showRowStripes="1" showColumnStripes="0"/>
</table>
</file>

<file path=xl/tables/table66.xml><?xml version="1.0" encoding="utf-8"?>
<table xmlns="http://schemas.openxmlformats.org/spreadsheetml/2006/main" id="110" name="Table4791113157212579399105111" displayName="Table4791113157212579399105111" ref="B14:G25" totalsRowShown="0" headerRowDxfId="749" dataDxfId="748" tableBorderDxfId="747">
  <autoFilter ref="B14:G25">
    <filterColumn colId="0" hiddenButton="1"/>
    <filterColumn colId="1" hiddenButton="1"/>
    <filterColumn colId="2" hiddenButton="1"/>
    <filterColumn colId="3" hiddenButton="1"/>
    <filterColumn colId="4" hiddenButton="1"/>
    <filterColumn colId="5" hiddenButton="1"/>
  </autoFilter>
  <tableColumns count="6">
    <tableColumn id="1" name="Summary indicators" dataDxfId="746"/>
    <tableColumn id="2" name="Persons" dataDxfId="745"/>
    <tableColumn id="8" name="% of population" dataDxfId="744">
      <calculatedColumnFormula>(C15/$C$15)</calculatedColumnFormula>
    </tableColumn>
    <tableColumn id="9" name="2011 Census" dataDxfId="743"/>
    <tableColumn id="10" name="Change 2011-2016" dataDxfId="742">
      <calculatedColumnFormula>(Table4791113157212579399105111[[#This Row],[Persons]]-Table4791113157212579399105111[[#This Row],[2011 Census]])</calculatedColumnFormula>
    </tableColumn>
    <tableColumn id="11" name="% change" dataDxfId="741">
      <calculatedColumnFormula>(Table4791113157212579399105111[[#This Row],[Change 2011-2016]]/Table4791113157212579399105111[[#This Row],[2011 Census]])</calculatedColumnFormula>
    </tableColumn>
  </tableColumns>
  <tableStyleInfo name="TableStyleLight1" showFirstColumn="0" showLastColumn="0" showRowStripes="1" showColumnStripes="0"/>
</table>
</file>

<file path=xl/tables/table67.xml><?xml version="1.0" encoding="utf-8"?>
<table xmlns="http://schemas.openxmlformats.org/spreadsheetml/2006/main" id="111" name="Table792226894100106112" displayName="Table792226894100106112" ref="B117:H129" totalsRowCount="1" headerRowDxfId="740" dataDxfId="738" totalsRowDxfId="736" headerRowBorderDxfId="739" tableBorderDxfId="737">
  <autoFilter ref="B117:H128">
    <filterColumn colId="0" hiddenButton="1"/>
    <filterColumn colId="1" hiddenButton="1"/>
    <filterColumn colId="2" hiddenButton="1"/>
    <filterColumn colId="3" hiddenButton="1"/>
    <filterColumn colId="4" hiddenButton="1"/>
    <filterColumn colId="5" hiddenButton="1"/>
    <filterColumn colId="6" hiddenButton="1"/>
  </autoFilter>
  <sortState ref="B118:H128">
    <sortCondition descending="1" ref="E117:E128"/>
  </sortState>
  <tableColumns count="7">
    <tableColumn id="1" name="Language" totalsRowLabel="Total LOTE speakers" dataDxfId="735" totalsRowDxfId="734"/>
    <tableColumn id="2" name="Males" totalsRowLabel="1688" dataDxfId="733" totalsRowDxfId="732" dataCellStyle="Normal 2"/>
    <tableColumn id="3" name="Females" totalsRowLabel="1937" dataDxfId="731" totalsRowDxfId="730" dataCellStyle="Normal 2"/>
    <tableColumn id="4" name="Persons" totalsRowLabel="3,630" dataDxfId="729" totalsRowDxfId="728" dataCellStyle="Normal 2"/>
    <tableColumn id="5" name="% of LOTE speakers" totalsRowLabel="100%" dataDxfId="727" totalsRowDxfId="726" dataCellStyle="Normal 2">
      <calculatedColumnFormula>IFERROR(Table792226894100106112[[#This Row],[Persons]]/$C$23,"-")</calculatedColumnFormula>
    </tableColumn>
    <tableColumn id="6" name="2011 Census" totalsRowFunction="custom" dataDxfId="725" totalsRowDxfId="724" dataCellStyle="Normal 2">
      <totalsRowFormula>E23</totalsRowFormula>
    </tableColumn>
    <tableColumn id="8" name="% change 2011-2016" totalsRowFunction="custom" dataDxfId="723" totalsRowDxfId="722" dataCellStyle="Percent">
      <calculatedColumnFormula>IFERROR(((E118-G118)/G118),"..")</calculatedColumnFormula>
      <totalsRowFormula>(Table792226894100106112[[#Totals],[Persons]]-Table792226894100106112[[#Totals],[2011 Census]])/Table792226894100106112[[#Totals],[2011 Census]]</totalsRowFormula>
    </tableColumn>
  </tableColumns>
  <tableStyleInfo name="TableStyleLight1" showFirstColumn="0" showLastColumn="0" showRowStripes="1" showColumnStripes="0"/>
</table>
</file>

<file path=xl/tables/table68.xml><?xml version="1.0" encoding="utf-8"?>
<table xmlns="http://schemas.openxmlformats.org/spreadsheetml/2006/main" id="112" name="Table3102327995101107113" displayName="Table3102327995101107113" ref="B170:I180" totalsRowShown="0" headerRowDxfId="721" dataDxfId="720">
  <autoFilter ref="B170:I18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0" name="Ancestry (c)" dataDxfId="719" dataCellStyle="Normal 2"/>
    <tableColumn id="9" name="Both parents born in Australia" dataDxfId="718" dataCellStyle="Normal 2"/>
    <tableColumn id="2" name="Both parents born overseas" dataDxfId="717" dataCellStyle="Normal 2"/>
    <tableColumn id="3" name="One parent OSB/one parent Aust born" dataDxfId="716" dataCellStyle="Normal 2"/>
    <tableColumn id="4" name="Not stated - Birthplace for either or both parents not stated" dataDxfId="715" dataCellStyle="Normal 2"/>
    <tableColumn id="5" name=" " dataDxfId="714" dataCellStyle="Normal 2"/>
    <tableColumn id="6" name="  " dataDxfId="713" dataCellStyle="Normal 2"/>
    <tableColumn id="7" name="   " dataDxfId="712" dataCellStyle="Normal 2"/>
  </tableColumns>
  <tableStyleInfo name="TableStyleLight1" showFirstColumn="0" showLastColumn="0" showRowStripes="1" showColumnStripes="0"/>
</table>
</file>

<file path=xl/tables/table69.xml><?xml version="1.0" encoding="utf-8"?>
<table xmlns="http://schemas.openxmlformats.org/spreadsheetml/2006/main" id="113" name="Table79222681196102108114" displayName="Table79222681196102108114" ref="B184:I207" totalsRowCount="1" headerRowDxfId="711" dataDxfId="709" totalsRowDxfId="707" headerRowBorderDxfId="710" tableBorderDxfId="708">
  <autoFilter ref="B184:I20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sortState ref="B185:I206">
    <sortCondition descending="1" ref="E117:E128"/>
  </sortState>
  <tableColumns count="8">
    <tableColumn id="1" name="Religion" totalsRowLabel="Total persons" dataDxfId="706" totalsRowDxfId="705"/>
    <tableColumn id="2" name="Males" totalsRowLabel="3144" dataDxfId="704" totalsRowDxfId="703"/>
    <tableColumn id="3" name="Females" totalsRowLabel="2890" dataDxfId="702" totalsRowDxfId="701"/>
    <tableColumn id="4" name="Persons" totalsRowFunction="custom" dataDxfId="700" totalsRowDxfId="699">
      <totalsRowFormula>C15</totalsRowFormula>
    </tableColumn>
    <tableColumn id="5" name="% of population" totalsRowLabel="100%" dataDxfId="698" totalsRowDxfId="697">
      <calculatedColumnFormula>SUM(Table79222681196102108114[[#This Row],[Persons]]/$C$15)</calculatedColumnFormula>
    </tableColumn>
    <tableColumn id="6" name="2011 Census" totalsRowFunction="custom" dataDxfId="696" totalsRowDxfId="695">
      <totalsRowFormula>E15</totalsRowFormula>
    </tableColumn>
    <tableColumn id="7" name="Change 2011-2016" totalsRowFunction="custom" dataDxfId="694" totalsRowDxfId="693">
      <calculatedColumnFormula>Table79222681196102108114[[#This Row],[Persons]]-Table79222681196102108114[[#This Row],[2011 Census]]</calculatedColumnFormula>
      <totalsRowFormula>SUM(Table79222681196102108114[[#Totals],[Persons]]-Table79222681196102108114[[#Totals],[2011 Census]])</totalsRowFormula>
    </tableColumn>
    <tableColumn id="8" name="% change" totalsRowFunction="custom" dataDxfId="692" totalsRowDxfId="691">
      <calculatedColumnFormula>IFERROR((Table79222681196102108114[[#This Row],[Persons]]-Table79222681196102108114[[#This Row],[2011 Census]])/Table79222681196102108114[[#This Row],[2011 Census]],"..")</calculatedColumnFormula>
      <totalsRowFormula>SUM((Table79222681196102108114[[#Totals],[Persons]]-Table79222681196102108114[[#Totals],[2011 Census]])/Table79222681196102108114[[#Totals],[2011 Census]])</totalsRowFormula>
    </tableColumn>
  </tableColumns>
  <tableStyleInfo name="TableStyleLight1" showFirstColumn="0" showLastColumn="0" showRowStripes="1" showColumnStripes="0"/>
</table>
</file>

<file path=xl/tables/table7.xml><?xml version="1.0" encoding="utf-8"?>
<table xmlns="http://schemas.openxmlformats.org/spreadsheetml/2006/main" id="29" name="Table29" displayName="Table29" ref="B131:H147" totalsRowShown="0" headerRowDxfId="1585" dataDxfId="1583" headerRowBorderDxfId="1584" tableBorderDxfId="1582" headerRowCellStyle="Normal 3" dataCellStyle="Normal 3">
  <autoFilter ref="B131:H14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Language" dataDxfId="1581" dataCellStyle="rowfield"/>
    <tableColumn id="2" name="Males" dataDxfId="1580" dataCellStyle="Comma 3"/>
    <tableColumn id="3" name="Females" dataDxfId="1579" dataCellStyle="Comma 3"/>
    <tableColumn id="4" name="Persons" dataDxfId="1578" dataCellStyle="Comma 3"/>
    <tableColumn id="5" name="% of LOTE speakers" dataDxfId="1577" dataCellStyle="Normal 3"/>
    <tableColumn id="6" name="2011" dataDxfId="1576" dataCellStyle="Comma 3"/>
    <tableColumn id="8" name="% change 2011-2016" dataDxfId="1575" dataCellStyle="Normal 3"/>
  </tableColumns>
  <tableStyleInfo name="TableStyleMedium5" showFirstColumn="0" showLastColumn="0" showRowStripes="1" showColumnStripes="0"/>
</table>
</file>

<file path=xl/tables/table70.xml><?xml version="1.0" encoding="utf-8"?>
<table xmlns="http://schemas.openxmlformats.org/spreadsheetml/2006/main" id="114" name="Table79222681297103109115" displayName="Table79222681297103109115" ref="B211:J234" totalsRowCount="1" headerRowDxfId="690" dataDxfId="688" totalsRowDxfId="686" headerRowBorderDxfId="689" tableBorderDxfId="687">
  <autoFilter ref="B211:J23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sortState ref="B212:I231">
    <sortCondition descending="1" ref="E117:E128"/>
  </sortState>
  <tableColumns count="9">
    <tableColumn id="1" name="Religion" totalsRowLabel="Total persons" dataDxfId="685" totalsRowDxfId="684"/>
    <tableColumn id="2" name="Birthplace Australia" totalsRowFunction="custom" dataDxfId="683" totalsRowDxfId="682">
      <totalsRowFormula>C16</totalsRowFormula>
    </tableColumn>
    <tableColumn id="3" name="Overseas" totalsRowFunction="custom" dataDxfId="681" totalsRowDxfId="680">
      <totalsRowFormula>C17</totalsRowFormula>
    </tableColumn>
    <tableColumn id="4" name="Not stated" totalsRowFunction="custom" dataDxfId="679" totalsRowDxfId="678">
      <totalsRowFormula>C18</totalsRowFormula>
    </tableColumn>
    <tableColumn id="5" name="Age 01-14" totalsRowLabel="123" dataDxfId="677" totalsRowDxfId="676" dataCellStyle="Normal 2"/>
    <tableColumn id="6" name="15-24" totalsRowLabel="1304" dataDxfId="675" totalsRowDxfId="674" dataCellStyle="Normal 2"/>
    <tableColumn id="7" name="25-44" totalsRowLabel="1976" dataDxfId="673" totalsRowDxfId="672" dataCellStyle="Normal 2"/>
    <tableColumn id="8" name="56-64" totalsRowLabel="1221" dataDxfId="671" totalsRowDxfId="670" dataCellStyle="Percent 2"/>
    <tableColumn id="9" name="65+" totalsRowLabel="288" dataDxfId="669" totalsRowDxfId="668" dataCellStyle="Normal 2"/>
  </tableColumns>
  <tableStyleInfo name="TableStyleLight1" showFirstColumn="0" showLastColumn="0" showRowStripes="1" showColumnStripes="0"/>
</table>
</file>

<file path=xl/tables/table71.xml><?xml version="1.0" encoding="utf-8"?>
<table xmlns="http://schemas.openxmlformats.org/spreadsheetml/2006/main" id="5" name="Table5" displayName="Table5" ref="B13:G24" totalsRowShown="0" headerRowDxfId="667" dataDxfId="666" tableBorderDxfId="665" headerRowCellStyle="Normal 2 8" dataCellStyle="Comma 3">
  <autoFilter ref="B13:G24">
    <filterColumn colId="0" hiddenButton="1"/>
    <filterColumn colId="1" hiddenButton="1"/>
    <filterColumn colId="2" hiddenButton="1"/>
    <filterColumn colId="3" hiddenButton="1"/>
    <filterColumn colId="4" hiddenButton="1"/>
    <filterColumn colId="5" hiddenButton="1"/>
  </autoFilter>
  <tableColumns count="6">
    <tableColumn id="1" name="Summary indicators" dataDxfId="664" dataCellStyle="Normal 2 8"/>
    <tableColumn id="2" name="Persons" dataDxfId="663"/>
    <tableColumn id="3" name="% of population" dataDxfId="662" dataCellStyle="Comma 3">
      <calculatedColumnFormula>C14/$C$14*100</calculatedColumnFormula>
    </tableColumn>
    <tableColumn id="4" name="2011 Census" dataDxfId="661" dataCellStyle="Comma 3"/>
    <tableColumn id="5" name="Change 2016-2011" dataDxfId="660" dataCellStyle="Comma 3">
      <calculatedColumnFormula>Table5[[#This Row],[Persons]]-Table5[[#This Row],[2011 Census]]</calculatedColumnFormula>
    </tableColumn>
    <tableColumn id="6" name="% change" dataDxfId="659" dataCellStyle="Percent">
      <calculatedColumnFormula>Table5[[#This Row],[Change 2016-2011]]/Table5[[#This Row],[2011 Census]]</calculatedColumnFormula>
    </tableColumn>
  </tableColumns>
  <tableStyleInfo name="TableStyleMedium5" showFirstColumn="0" showLastColumn="0" showRowStripes="1" showColumnStripes="0"/>
</table>
</file>

<file path=xl/tables/table72.xml><?xml version="1.0" encoding="utf-8"?>
<table xmlns="http://schemas.openxmlformats.org/spreadsheetml/2006/main" id="30" name="Table30" displayName="Table30" ref="B128:H150" totalsRowShown="0" headerRowDxfId="658" dataDxfId="656" headerRowBorderDxfId="657" tableBorderDxfId="655" headerRowCellStyle="Normal 2 8">
  <autoFilter ref="B128:H15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Language" dataDxfId="654" dataCellStyle="rowfield"/>
    <tableColumn id="2" name="Males" dataDxfId="653" dataCellStyle="cells"/>
    <tableColumn id="3" name="Females" dataDxfId="652" dataCellStyle="cells"/>
    <tableColumn id="4" name="Persons" dataDxfId="651" dataCellStyle="cells"/>
    <tableColumn id="5" name="% of LOTE speakers" dataDxfId="650" dataCellStyle="Normal 2 8"/>
    <tableColumn id="6" name="2011 Census" dataDxfId="649" dataCellStyle="cells"/>
    <tableColumn id="7" name="% change 2011-2016" dataDxfId="648" dataCellStyle="Percent 2 2"/>
  </tableColumns>
  <tableStyleInfo name="TableStyleMedium6" showFirstColumn="0" showLastColumn="0" showRowStripes="1" showColumnStripes="0"/>
</table>
</file>

<file path=xl/tables/table73.xml><?xml version="1.0" encoding="utf-8"?>
<table xmlns="http://schemas.openxmlformats.org/spreadsheetml/2006/main" id="31" name="Table31" displayName="Table31" ref="B114:I124" totalsRowShown="0" headerRowDxfId="647" dataDxfId="646" tableBorderDxfId="645" headerRowCellStyle="Normal 2 8" dataCellStyle="Percent 2 2">
  <autoFilter ref="B114:I12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Birthplace" dataDxfId="644" dataCellStyle="rowfield"/>
    <tableColumn id="2" name="Before 1986" dataDxfId="643" dataCellStyle="Percent 2 2"/>
    <tableColumn id="3" name="1986-1995" dataDxfId="642" dataCellStyle="Percent 2 2"/>
    <tableColumn id="4" name="1996-2005" dataDxfId="641" dataCellStyle="Percent 2 2"/>
    <tableColumn id="5" name="2006-2010" dataDxfId="640" dataCellStyle="Percent 2 2"/>
    <tableColumn id="6" name="2010-2015" dataDxfId="639" dataCellStyle="Percent 2 2"/>
    <tableColumn id="7" name="2016" dataDxfId="638" dataCellStyle="Percent 2 2"/>
    <tableColumn id="8" name="Total" dataDxfId="637" dataCellStyle="cells"/>
  </tableColumns>
  <tableStyleInfo name="TableStyleMedium6" showFirstColumn="0" showLastColumn="0" showRowStripes="1" showColumnStripes="0"/>
</table>
</file>

<file path=xl/tables/table74.xml><?xml version="1.0" encoding="utf-8"?>
<table xmlns="http://schemas.openxmlformats.org/spreadsheetml/2006/main" id="37" name="Table37" displayName="Table37" ref="B99:I109" totalsRowShown="0" headerRowDxfId="636" dataDxfId="634" headerRowBorderDxfId="635" tableBorderDxfId="633" headerRowCellStyle="Normal 2 8" dataCellStyle="cells">
  <autoFilter ref="B99:I10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Birthplace" dataDxfId="632" dataCellStyle="rowfield"/>
    <tableColumn id="2" name="Before 1986" dataDxfId="631" dataCellStyle="cells"/>
    <tableColumn id="3" name="1986-1995" dataDxfId="630" dataCellStyle="cells"/>
    <tableColumn id="4" name="1996-2005" dataDxfId="629" dataCellStyle="cells"/>
    <tableColumn id="5" name="2006-2010" dataDxfId="628" dataCellStyle="cells"/>
    <tableColumn id="6" name="2010-2015" dataDxfId="627" dataCellStyle="cells"/>
    <tableColumn id="7" name="2016" dataDxfId="626" dataCellStyle="cells"/>
    <tableColumn id="8" name="Total" dataDxfId="625" dataCellStyle="cells"/>
  </tableColumns>
  <tableStyleInfo name="TableStyleMedium6" showFirstColumn="0" showLastColumn="0" showRowStripes="1" showColumnStripes="0"/>
</table>
</file>

<file path=xl/tables/table75.xml><?xml version="1.0" encoding="utf-8"?>
<table xmlns="http://schemas.openxmlformats.org/spreadsheetml/2006/main" id="38" name="Table38" displayName="Table38" ref="B81:H91" totalsRowShown="0" headerRowDxfId="624" dataDxfId="622" headerRowBorderDxfId="623" tableBorderDxfId="621" headerRowCellStyle="Normal 2 8" dataCellStyle="cells">
  <autoFilter ref="B81:H9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Birthplace" dataDxfId="620" dataCellStyle="rowfield"/>
    <tableColumn id="2" name="0-14" dataDxfId="619" dataCellStyle="cells"/>
    <tableColumn id="3" name="15-24" dataDxfId="618" dataCellStyle="cells"/>
    <tableColumn id="4" name="25-44" dataDxfId="617" dataCellStyle="cells"/>
    <tableColumn id="5" name="45-64" dataDxfId="616" dataCellStyle="cells"/>
    <tableColumn id="6" name="65+" dataDxfId="615" dataCellStyle="cells"/>
    <tableColumn id="7" name="Total" dataDxfId="614" dataCellStyle="cells"/>
  </tableColumns>
  <tableStyleInfo name="TableStyleMedium6" showFirstColumn="0" showLastColumn="0" showRowStripes="1" showColumnStripes="0"/>
</table>
</file>

<file path=xl/tables/table76.xml><?xml version="1.0" encoding="utf-8"?>
<table xmlns="http://schemas.openxmlformats.org/spreadsheetml/2006/main" id="39" name="Table39" displayName="Table39" ref="B63:H73" totalsRowShown="0" headerRowDxfId="613" dataDxfId="611" headerRowBorderDxfId="612" tableBorderDxfId="610" headerRowCellStyle="Normal 2 8" dataCellStyle="cells">
  <autoFilter ref="B63:H73">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Birthplace" dataDxfId="609" dataCellStyle="rowfield"/>
    <tableColumn id="2" name="0-14" dataDxfId="608" dataCellStyle="cells"/>
    <tableColumn id="3" name="15-24" dataDxfId="607" dataCellStyle="cells"/>
    <tableColumn id="4" name="25-44" dataDxfId="606" dataCellStyle="cells"/>
    <tableColumn id="5" name="45-64" dataDxfId="605" dataCellStyle="cells"/>
    <tableColumn id="6" name="65+" dataDxfId="604" dataCellStyle="cells"/>
    <tableColumn id="7" name="Total" dataDxfId="603" dataCellStyle="cells"/>
  </tableColumns>
  <tableStyleInfo name="TableStyleMedium6" showFirstColumn="0" showLastColumn="0" showRowStripes="1" showColumnStripes="0"/>
</table>
</file>

<file path=xl/tables/table77.xml><?xml version="1.0" encoding="utf-8"?>
<table xmlns="http://schemas.openxmlformats.org/spreadsheetml/2006/main" id="40" name="Table40" displayName="Table40" ref="B29:H55" totalsRowShown="0" headerRowDxfId="602" dataDxfId="601" tableBorderDxfId="600" headerRowCellStyle="Normal 2 8" dataCellStyle="cells">
  <autoFilter ref="B29:H5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Birthplace" dataDxfId="599" dataCellStyle="rowfield"/>
    <tableColumn id="2" name="Males" dataDxfId="598" dataCellStyle="cells"/>
    <tableColumn id="3" name="Females" dataDxfId="597" dataCellStyle="cells"/>
    <tableColumn id="4" name="Persons" dataDxfId="596" dataCellStyle="cells"/>
    <tableColumn id="5" name="% of OSB" dataDxfId="595" dataCellStyle="Normal 3">
      <calculatedColumnFormula>E30/$E$57</calculatedColumnFormula>
    </tableColumn>
    <tableColumn id="6" name="Persons 2011" dataDxfId="594" dataCellStyle="cells"/>
    <tableColumn id="7" name="% change 2011-2016" dataDxfId="593" dataCellStyle="Normal 3">
      <calculatedColumnFormula>(E30-G30)/G30</calculatedColumnFormula>
    </tableColumn>
  </tableColumns>
  <tableStyleInfo name="TableStyleMedium6" showFirstColumn="0" showLastColumn="0" showRowStripes="1" showColumnStripes="0"/>
</table>
</file>

<file path=xl/tables/table78.xml><?xml version="1.0" encoding="utf-8"?>
<table xmlns="http://schemas.openxmlformats.org/spreadsheetml/2006/main" id="41" name="Table41" displayName="Table41" ref="B196:I207" totalsRowShown="0" headerRowDxfId="592" dataDxfId="590" headerRowBorderDxfId="591" tableBorderDxfId="589" dataCellStyle="Comma 3">
  <autoFilter ref="B196:I20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  " dataDxfId="588" dataCellStyle="rowfield"/>
    <tableColumn id="2" name="Australia born" dataDxfId="587" dataCellStyle="Comma 3"/>
    <tableColumn id="3" name="    " dataDxfId="586" dataCellStyle="Comma 3"/>
    <tableColumn id="4" name=" " dataDxfId="585" dataCellStyle="Comma 3"/>
    <tableColumn id="5" name="     " dataDxfId="584" dataCellStyle="Comma 3"/>
    <tableColumn id="6" name="Overseas born" dataDxfId="583" dataCellStyle="Comma 3"/>
    <tableColumn id="7" name="Not stated" dataDxfId="582" dataCellStyle="Comma 3"/>
    <tableColumn id="8" name="Total responses" dataDxfId="581" dataCellStyle="Comma 3"/>
  </tableColumns>
  <tableStyleInfo name="TableStyleMedium6" showFirstColumn="0" showLastColumn="0" showRowStripes="1" showColumnStripes="0"/>
</table>
</file>

<file path=xl/tables/table79.xml><?xml version="1.0" encoding="utf-8"?>
<table xmlns="http://schemas.openxmlformats.org/spreadsheetml/2006/main" id="52" name="Table52" displayName="Table52" ref="B211:I232" totalsRowShown="0" headerRowDxfId="580" dataDxfId="579" tableBorderDxfId="578" headerRowCellStyle="Normal 2 8" dataCellStyle="Normal 3">
  <autoFilter ref="B211:I23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Religion" dataDxfId="577" dataCellStyle="rowfield"/>
    <tableColumn id="2" name="Males" dataDxfId="576" dataCellStyle="cells"/>
    <tableColumn id="3" name="Females" dataDxfId="575" dataCellStyle="cells"/>
    <tableColumn id="4" name="Persons" dataDxfId="574" dataCellStyle="cells"/>
    <tableColumn id="5" name="% of population" dataDxfId="573" dataCellStyle="Normal 3"/>
    <tableColumn id="6" name="2011 Census" dataDxfId="572" dataCellStyle="cells"/>
    <tableColumn id="7" name="Change 2011-2016" dataDxfId="571" dataCellStyle="Normal 3"/>
    <tableColumn id="8" name="% change" dataDxfId="570" dataCellStyle="Normal 3"/>
  </tableColumns>
  <tableStyleInfo name="TableStyleMedium6" showFirstColumn="0" showLastColumn="0" showRowStripes="1" showColumnStripes="0"/>
</table>
</file>

<file path=xl/tables/table8.xml><?xml version="1.0" encoding="utf-8"?>
<table xmlns="http://schemas.openxmlformats.org/spreadsheetml/2006/main" id="32" name="Table32" displayName="Table32" ref="B190:J200" totalsRowShown="0" headerRowDxfId="1574" dataDxfId="1572" headerRowBorderDxfId="1573" tableBorderDxfId="1571" headerRowCellStyle="Normal 3" dataCellStyle="Comma 3">
  <autoFilter ref="B190:J2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Ancestry (a)" dataDxfId="1570" dataCellStyle="rowfield"/>
    <tableColumn id="2" name="Both parents born in Australia" dataDxfId="1569" dataCellStyle="Comma 3"/>
    <tableColumn id="3" name="Both parents born overseas" dataDxfId="1568" dataCellStyle="Comma 3"/>
    <tableColumn id="4" name="One parent OSB/one parent Aust born" dataDxfId="1567" dataCellStyle="Comma 3"/>
    <tableColumn id="6" name="Not stated Birthplace for either or both parents" dataDxfId="1566" dataCellStyle="Comma 3"/>
    <tableColumn id="7" name=" " dataDxfId="1565" dataCellStyle="Comma 3"/>
    <tableColumn id="8" name="  " dataDxfId="1564" dataCellStyle="Comma 3"/>
    <tableColumn id="9" name="   " dataDxfId="1563" dataCellStyle="Comma 3"/>
    <tableColumn id="10" name="    " dataDxfId="1562" dataCellStyle="Normal 3"/>
  </tableColumns>
  <tableStyleInfo name="TableStyleMedium5" showFirstColumn="0" showLastColumn="0" showRowStripes="1" showColumnStripes="0"/>
</table>
</file>

<file path=xl/tables/table80.xml><?xml version="1.0" encoding="utf-8"?>
<table xmlns="http://schemas.openxmlformats.org/spreadsheetml/2006/main" id="53" name="Table53" displayName="Table53" ref="B239:K260" totalsRowShown="0" headerRowDxfId="569" dataDxfId="568" tableBorderDxfId="567" headerRowCellStyle="Normal 2 8" dataCellStyle="Comma 3">
  <autoFilter ref="B239:K2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Religion" dataDxfId="566" dataCellStyle="rowfield"/>
    <tableColumn id="2" name="Australia" dataDxfId="565" dataCellStyle="Comma 3"/>
    <tableColumn id="3" name="Overseas" dataDxfId="564" dataCellStyle="Comma 3"/>
    <tableColumn id="4" name="Not stated" dataDxfId="563" dataCellStyle="Comma 3"/>
    <tableColumn id="5" name="0-14" dataDxfId="562" dataCellStyle="Comma 3"/>
    <tableColumn id="6" name="15-24" dataDxfId="561" dataCellStyle="Comma 3"/>
    <tableColumn id="7" name="25-44" dataDxfId="560" dataCellStyle="Comma 3"/>
    <tableColumn id="8" name="56-64" dataDxfId="559" dataCellStyle="Comma 3"/>
    <tableColumn id="9" name="65+" dataDxfId="558" dataCellStyle="Comma 3"/>
    <tableColumn id="10" name="Total" dataDxfId="557" dataCellStyle="Comma 3"/>
  </tableColumns>
  <tableStyleInfo name="TableStyleMedium6" showFirstColumn="0" showLastColumn="0" showRowStripes="1" showColumnStripes="0"/>
</table>
</file>

<file path=xl/tables/table81.xml><?xml version="1.0" encoding="utf-8"?>
<table xmlns="http://schemas.openxmlformats.org/spreadsheetml/2006/main" id="121" name="Table55202469298116122" displayName="Table55202469298116122" ref="B30:H42" totalsRowShown="0" headerRowDxfId="556" dataDxfId="555" totalsRowDxfId="553" tableBorderDxfId="554">
  <autoFilter ref="B30:H42">
    <filterColumn colId="0" hiddenButton="1"/>
    <filterColumn colId="1" hiddenButton="1"/>
    <filterColumn colId="2" hiddenButton="1"/>
    <filterColumn colId="3" hiddenButton="1"/>
    <filterColumn colId="4" hiddenButton="1"/>
    <filterColumn colId="5" hiddenButton="1"/>
    <filterColumn colId="6" hiddenButton="1"/>
  </autoFilter>
  <sortState ref="B31:H40">
    <sortCondition descending="1" ref="E30:E40"/>
  </sortState>
  <tableColumns count="7">
    <tableColumn id="1" name="Birthplace" dataDxfId="552"/>
    <tableColumn id="12" name="Males 2016" dataDxfId="551"/>
    <tableColumn id="15" name="Females 2016" dataDxfId="550"/>
    <tableColumn id="16" name="Persons 2016" dataDxfId="549"/>
    <tableColumn id="5" name="% of OSB" dataDxfId="548">
      <calculatedColumnFormula>SUM(Table55202469298116122[[#This Row],[Persons 2016]]/$C$17)</calculatedColumnFormula>
    </tableColumn>
    <tableColumn id="27" name="Persons 2011" dataDxfId="547"/>
    <tableColumn id="8" name="% Change 2011-2016" dataDxfId="546">
      <calculatedColumnFormula>IFERROR(((Table55202469298116122[[#This Row],[Persons 2016]]-Table55202469298116122[[#This Row],[Persons 2011]])/Table55202469298116122[[#This Row],[Persons 2011]]),"..")</calculatedColumnFormula>
    </tableColumn>
  </tableColumns>
  <tableStyleInfo name="TableStyleLight1" showFirstColumn="0" showLastColumn="0" showRowStripes="1" showColumnStripes="0"/>
</table>
</file>

<file path=xl/tables/table82.xml><?xml version="1.0" encoding="utf-8"?>
<table xmlns="http://schemas.openxmlformats.org/spreadsheetml/2006/main" id="122" name="Table4791113157212579399117123" displayName="Table4791113157212579399117123" ref="B14:G25" totalsRowShown="0" headerRowDxfId="545" dataDxfId="544" tableBorderDxfId="543">
  <autoFilter ref="B14:G25">
    <filterColumn colId="0" hiddenButton="1"/>
    <filterColumn colId="1" hiddenButton="1"/>
    <filterColumn colId="2" hiddenButton="1"/>
    <filterColumn colId="3" hiddenButton="1"/>
    <filterColumn colId="4" hiddenButton="1"/>
    <filterColumn colId="5" hiddenButton="1"/>
  </autoFilter>
  <tableColumns count="6">
    <tableColumn id="1" name="Summary indicators" dataDxfId="542"/>
    <tableColumn id="2" name="Persons" dataDxfId="541"/>
    <tableColumn id="8" name="% of population" dataDxfId="540">
      <calculatedColumnFormula>(C15/$C$15)</calculatedColumnFormula>
    </tableColumn>
    <tableColumn id="9" name="2011 Census" dataDxfId="539"/>
    <tableColumn id="10" name="Change 2011-2016" dataDxfId="538">
      <calculatedColumnFormula>(Table4791113157212579399117123[[#This Row],[Persons]]-Table4791113157212579399117123[[#This Row],[2011 Census]])</calculatedColumnFormula>
    </tableColumn>
    <tableColumn id="11" name="% change" dataDxfId="537">
      <calculatedColumnFormula>(Table4791113157212579399117123[[#This Row],[Change 2011-2016]]/Table4791113157212579399117123[[#This Row],[2011 Census]])</calculatedColumnFormula>
    </tableColumn>
  </tableColumns>
  <tableStyleInfo name="TableStyleLight1" showFirstColumn="0" showLastColumn="0" showRowStripes="1" showColumnStripes="0"/>
</table>
</file>

<file path=xl/tables/table83.xml><?xml version="1.0" encoding="utf-8"?>
<table xmlns="http://schemas.openxmlformats.org/spreadsheetml/2006/main" id="123" name="Table792226894100118124" displayName="Table792226894100118124" ref="B117:H129" totalsRowCount="1" headerRowDxfId="536" dataDxfId="534" totalsRowDxfId="532" headerRowBorderDxfId="535" tableBorderDxfId="533">
  <autoFilter ref="B117:H128">
    <filterColumn colId="0" hiddenButton="1"/>
    <filterColumn colId="1" hiddenButton="1"/>
    <filterColumn colId="2" hiddenButton="1"/>
    <filterColumn colId="3" hiddenButton="1"/>
    <filterColumn colId="4" hiddenButton="1"/>
    <filterColumn colId="5" hiddenButton="1"/>
    <filterColumn colId="6" hiddenButton="1"/>
  </autoFilter>
  <sortState ref="B118:H128">
    <sortCondition descending="1" ref="E117:E128"/>
  </sortState>
  <tableColumns count="7">
    <tableColumn id="1" name="Language" totalsRowLabel="Total LOTE speakers (b)" dataDxfId="531" totalsRowDxfId="530"/>
    <tableColumn id="2" name="Males" totalsRowLabel="2033" dataDxfId="529" totalsRowDxfId="528" dataCellStyle="Comma"/>
    <tableColumn id="3" name="Females" totalsRowLabel="2093" dataDxfId="527" totalsRowDxfId="526" dataCellStyle="Comma"/>
    <tableColumn id="4" name="Persons" totalsRowLabel="4,124" dataDxfId="525" totalsRowDxfId="524" dataCellStyle="Comma"/>
    <tableColumn id="5" name="% of LOTE speakers" totalsRowLabel="100%" dataDxfId="523" totalsRowDxfId="522" dataCellStyle="Comma">
      <calculatedColumnFormula>IFERROR(Table792226894100118124[[#This Row],[Persons]]/$C$23,"..")</calculatedColumnFormula>
    </tableColumn>
    <tableColumn id="6" name="2011 Census" totalsRowFunction="custom" dataDxfId="521" totalsRowDxfId="520" dataCellStyle="Comma">
      <totalsRowFormula>E23</totalsRowFormula>
    </tableColumn>
    <tableColumn id="8" name="% change 2011-2016" totalsRowFunction="custom" dataDxfId="519" totalsRowDxfId="518" dataCellStyle="Percent">
      <calculatedColumnFormula>IFERROR(((E118-G118)/G118),"..")</calculatedColumnFormula>
      <totalsRowFormula>(Table792226894100118124[[#Totals],[Persons]]-Table792226894100118124[[#Totals],[2011 Census]])/Table792226894100118124[[#Totals],[2011 Census]]</totalsRowFormula>
    </tableColumn>
  </tableColumns>
  <tableStyleInfo name="TableStyleLight1" showFirstColumn="0" showLastColumn="0" showRowStripes="1" showColumnStripes="0"/>
</table>
</file>

<file path=xl/tables/table84.xml><?xml version="1.0" encoding="utf-8"?>
<table xmlns="http://schemas.openxmlformats.org/spreadsheetml/2006/main" id="124" name="Table3102327995101119125" displayName="Table3102327995101119125" ref="B170:I180" totalsRowShown="0" headerRowDxfId="517" dataDxfId="516">
  <autoFilter ref="B170:I18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0" name="Ancestry (c)" dataDxfId="515" dataCellStyle="Normal 2"/>
    <tableColumn id="9" name="Both parents born in Australia" dataDxfId="514" dataCellStyle="Normal 2"/>
    <tableColumn id="2" name="Both parents born overseas" dataDxfId="513" dataCellStyle="Normal 2"/>
    <tableColumn id="3" name="One parent OSB/one parent Aust born" dataDxfId="512" dataCellStyle="Normal 2"/>
    <tableColumn id="4" name="Not stated - Birthplace for either or both parents not stated" dataDxfId="511" dataCellStyle="Normal 2"/>
    <tableColumn id="5" name=" " dataDxfId="510" dataCellStyle="Normal 2"/>
    <tableColumn id="6" name="   " dataDxfId="509" dataCellStyle="Normal 2"/>
    <tableColumn id="7" name="    " dataDxfId="508" dataCellStyle="Normal 2"/>
  </tableColumns>
  <tableStyleInfo name="TableStyleLight1" showFirstColumn="0" showLastColumn="0" showRowStripes="1" showColumnStripes="0"/>
</table>
</file>

<file path=xl/tables/table85.xml><?xml version="1.0" encoding="utf-8"?>
<table xmlns="http://schemas.openxmlformats.org/spreadsheetml/2006/main" id="126" name="Table79222681297103121127" displayName="Table79222681297103121127" ref="B211:J234" totalsRowCount="1" headerRowDxfId="507" dataDxfId="505" totalsRowDxfId="503" headerRowBorderDxfId="506" tableBorderDxfId="504">
  <autoFilter ref="B211:J23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sortState ref="B212:I231">
    <sortCondition descending="1" ref="E117:E128"/>
  </sortState>
  <tableColumns count="9">
    <tableColumn id="1" name="Religion" totalsRowLabel="Total persons" dataDxfId="502" totalsRowDxfId="501"/>
    <tableColumn id="2" name="Birthplace Australia" totalsRowFunction="custom" dataDxfId="500" totalsRowDxfId="499">
      <totalsRowFormula>C16</totalsRowFormula>
    </tableColumn>
    <tableColumn id="3" name="Overseas" totalsRowFunction="custom" dataDxfId="498" totalsRowDxfId="497">
      <totalsRowFormula>C17</totalsRowFormula>
    </tableColumn>
    <tableColumn id="4" name="Not stated" totalsRowFunction="custom" dataDxfId="496" totalsRowDxfId="495">
      <totalsRowFormula>C18</totalsRowFormula>
    </tableColumn>
    <tableColumn id="5" name="Age 01-14" totalsRowLabel="1,880" dataDxfId="494" totalsRowDxfId="493" dataCellStyle="Normal 2"/>
    <tableColumn id="6" name="15-24" totalsRowLabel="1,138" dataDxfId="492" totalsRowDxfId="491" dataCellStyle="Normal 2"/>
    <tableColumn id="7" name="25-44" totalsRowLabel="1,916" dataDxfId="490" totalsRowDxfId="489" dataCellStyle="Normal 2"/>
    <tableColumn id="8" name="56-64" totalsRowLabel="1,257" dataDxfId="488" totalsRowDxfId="487" dataCellStyle="Percent 2"/>
    <tableColumn id="9" name="65+" totalsRowLabel="314" dataDxfId="486" totalsRowDxfId="485" dataCellStyle="Normal 2"/>
  </tableColumns>
  <tableStyleInfo name="TableStyleLight1" showFirstColumn="0" showLastColumn="0" showRowStripes="1" showColumnStripes="0"/>
</table>
</file>

<file path=xl/tables/table86.xml><?xml version="1.0" encoding="utf-8"?>
<table xmlns="http://schemas.openxmlformats.org/spreadsheetml/2006/main" id="9" name="Table7922268119610210811410" displayName="Table7922268119610210811410" ref="B184:I207" totalsRowCount="1" headerRowDxfId="484" dataDxfId="482" totalsRowDxfId="480" headerRowBorderDxfId="483" tableBorderDxfId="481">
  <autoFilter ref="B184:I206">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sortState ref="B185:I206">
    <sortCondition descending="1" ref="E117:E128"/>
  </sortState>
  <tableColumns count="8">
    <tableColumn id="1" name="Religion" totalsRowLabel="Total persons" dataDxfId="479" totalsRowDxfId="478"/>
    <tableColumn id="2" name="Males" totalsRowLabel="3324" dataDxfId="477" totalsRowDxfId="476"/>
    <tableColumn id="3" name="Females" totalsRowLabel="3179" dataDxfId="475" totalsRowDxfId="474"/>
    <tableColumn id="4" name="Persons" totalsRowFunction="custom" dataDxfId="473" totalsRowDxfId="472">
      <totalsRowFormula>C15</totalsRowFormula>
    </tableColumn>
    <tableColumn id="5" name="% of population" totalsRowLabel="100%" dataDxfId="471" totalsRowDxfId="470">
      <calculatedColumnFormula>(Table7922268119610210811410[[#This Row],[Persons]]/$C$15)</calculatedColumnFormula>
    </tableColumn>
    <tableColumn id="6" name="2011 Census" totalsRowFunction="custom" dataDxfId="469" totalsRowDxfId="468">
      <totalsRowFormula>E15</totalsRowFormula>
    </tableColumn>
    <tableColumn id="7" name="Change 2011-2016" totalsRowFunction="custom" dataDxfId="467" totalsRowDxfId="466">
      <calculatedColumnFormula>IFERROR(Table7922268119610210811410[[#This Row],[Persons]]-Table7922268119610210811410[[#This Row],[2011 Census]],"..")</calculatedColumnFormula>
      <totalsRowFormula>SUM(Table7922268119610210811410[[#Totals],[Persons]]-Table7922268119610210811410[[#Totals],[2011 Census]])</totalsRowFormula>
    </tableColumn>
    <tableColumn id="8" name="% change" totalsRowFunction="custom" dataDxfId="465" totalsRowDxfId="464">
      <calculatedColumnFormula>IFERROR((Table7922268119610210811410[[#This Row],[Persons]]-Table7922268119610210811410[[#This Row],[2011 Census]])/Table7922268119610210811410[[#This Row],[2011 Census]],"..")</calculatedColumnFormula>
      <totalsRowFormula>SUM((Table7922268119610210811410[[#Totals],[Persons]]-Table7922268119610210811410[[#Totals],[2011 Census]])/Table7922268119610210811410[[#Totals],[2011 Census]])</totalsRowFormula>
    </tableColumn>
  </tableColumns>
  <tableStyleInfo name="TableStyleLight1" showFirstColumn="0" showLastColumn="0" showRowStripes="1" showColumnStripes="0"/>
</table>
</file>

<file path=xl/tables/table87.xml><?xml version="1.0" encoding="utf-8"?>
<table xmlns="http://schemas.openxmlformats.org/spreadsheetml/2006/main" id="97" name="Table55202469298" displayName="Table55202469298" ref="B30:H42" totalsRowShown="0" headerRowDxfId="463" dataDxfId="462" totalsRowDxfId="460" tableBorderDxfId="461">
  <autoFilter ref="B30:H42">
    <filterColumn colId="0" hiddenButton="1"/>
    <filterColumn colId="1" hiddenButton="1"/>
    <filterColumn colId="2" hiddenButton="1"/>
    <filterColumn colId="3" hiddenButton="1"/>
    <filterColumn colId="4" hiddenButton="1"/>
    <filterColumn colId="5" hiddenButton="1"/>
    <filterColumn colId="6" hiddenButton="1"/>
  </autoFilter>
  <sortState ref="B31:H40">
    <sortCondition descending="1" ref="E30:E40"/>
  </sortState>
  <tableColumns count="7">
    <tableColumn id="1" name="Birthplace" dataDxfId="459"/>
    <tableColumn id="12" name="Males 2016" dataDxfId="458"/>
    <tableColumn id="15" name="Females 2016" dataDxfId="457"/>
    <tableColumn id="16" name="Persons 2016" dataDxfId="456"/>
    <tableColumn id="5" name="% of OSB" dataDxfId="455">
      <calculatedColumnFormula>(Table55202469298[[#This Row],[Persons 2016]]/$C$17)</calculatedColumnFormula>
    </tableColumn>
    <tableColumn id="27" name="Persons 2011" dataDxfId="454"/>
    <tableColumn id="8" name="% Change 2011-2016" dataDxfId="453">
      <calculatedColumnFormula>IFERROR((Table55202469298[[#This Row],[Persons 2016]]-Table55202469298[[#This Row],[Persons 2011]])/Table55202469298[[#This Row],[Persons 2011]],"..")</calculatedColumnFormula>
    </tableColumn>
  </tableColumns>
  <tableStyleInfo name="TableStyleLight1" showFirstColumn="0" showLastColumn="0" showRowStripes="1" showColumnStripes="0"/>
</table>
</file>

<file path=xl/tables/table88.xml><?xml version="1.0" encoding="utf-8"?>
<table xmlns="http://schemas.openxmlformats.org/spreadsheetml/2006/main" id="98" name="Table4791113157212579399" displayName="Table4791113157212579399" ref="B14:G25" totalsRowShown="0" headerRowDxfId="452" dataDxfId="451" tableBorderDxfId="450">
  <autoFilter ref="B14:G25">
    <filterColumn colId="0" hiddenButton="1"/>
    <filterColumn colId="1" hiddenButton="1"/>
    <filterColumn colId="2" hiddenButton="1"/>
    <filterColumn colId="3" hiddenButton="1"/>
    <filterColumn colId="4" hiddenButton="1"/>
    <filterColumn colId="5" hiddenButton="1"/>
  </autoFilter>
  <tableColumns count="6">
    <tableColumn id="1" name="Summary indicators" dataDxfId="449"/>
    <tableColumn id="2" name="Persons" dataDxfId="448"/>
    <tableColumn id="8" name="% of population" dataDxfId="447">
      <calculatedColumnFormula>(C15/$C$15)</calculatedColumnFormula>
    </tableColumn>
    <tableColumn id="9" name="2011 Census" dataDxfId="446"/>
    <tableColumn id="10" name="Change 2011-2016" dataDxfId="445">
      <calculatedColumnFormula>SUM(Table4791113157212579399[[#This Row],[Persons]]-Table4791113157212579399[[#This Row],[2011 Census]])</calculatedColumnFormula>
    </tableColumn>
    <tableColumn id="11" name="% change" dataDxfId="444">
      <calculatedColumnFormula>IFERROR(Table4791113157212579399[[#This Row],[Change 2011-2016]]/Table4791113157212579399[[#This Row],[2011 Census]],"..")</calculatedColumnFormula>
    </tableColumn>
  </tableColumns>
  <tableStyleInfo name="TableStyleLight1" showFirstColumn="0" showLastColumn="0" showRowStripes="1" showColumnStripes="0"/>
</table>
</file>

<file path=xl/tables/table89.xml><?xml version="1.0" encoding="utf-8"?>
<table xmlns="http://schemas.openxmlformats.org/spreadsheetml/2006/main" id="99" name="Table792226894100" displayName="Table792226894100" ref="B117:H129" totalsRowCount="1" headerRowDxfId="443" dataDxfId="441" totalsRowDxfId="439" headerRowBorderDxfId="442" tableBorderDxfId="440">
  <autoFilter ref="B117:H128">
    <filterColumn colId="0" hiddenButton="1"/>
    <filterColumn colId="1" hiddenButton="1"/>
    <filterColumn colId="2" hiddenButton="1"/>
    <filterColumn colId="3" hiddenButton="1"/>
    <filterColumn colId="4" hiddenButton="1"/>
    <filterColumn colId="5" hiddenButton="1"/>
    <filterColumn colId="6" hiddenButton="1"/>
  </autoFilter>
  <sortState ref="B118:H128">
    <sortCondition descending="1" ref="E117:E128"/>
  </sortState>
  <tableColumns count="7">
    <tableColumn id="1" name="Language" totalsRowLabel="Total LOTE speakers (b)" dataDxfId="438" totalsRowDxfId="437"/>
    <tableColumn id="2" name="Males" totalsRowLabel="1022" dataDxfId="436" totalsRowDxfId="435" dataCellStyle="Normal 2"/>
    <tableColumn id="3" name="Females" totalsRowLabel="1042" dataDxfId="434" totalsRowDxfId="433" dataCellStyle="Normal 2"/>
    <tableColumn id="4" name="Persons" totalsRowLabel="2,064" dataDxfId="432" totalsRowDxfId="431" dataCellStyle="Normal 2"/>
    <tableColumn id="5" name="% of LOTE speakers" totalsRowLabel="100%" dataDxfId="430" totalsRowDxfId="429" dataCellStyle="Normal 2">
      <calculatedColumnFormula>IFERROR(Table792226894100[[#This Row],[Persons]]/$C$23,"..")</calculatedColumnFormula>
    </tableColumn>
    <tableColumn id="6" name="2011 Census" totalsRowFunction="custom" dataDxfId="428" totalsRowDxfId="427" dataCellStyle="Normal 2">
      <totalsRowFormula>E23</totalsRowFormula>
    </tableColumn>
    <tableColumn id="8" name="% change 2011-2016" totalsRowFunction="custom" dataDxfId="426" totalsRowDxfId="425" dataCellStyle="Percent 2">
      <calculatedColumnFormula>IFERROR(((E118-G118)/G118),"..")</calculatedColumnFormula>
      <totalsRowFormula>(Table792226894100[[#Totals],[Persons]]-Table792226894100[[#Totals],[2011 Census]])/Table792226894100[[#Totals],[2011 Census]]</totalsRowFormula>
    </tableColumn>
  </tableColumns>
  <tableStyleInfo name="TableStyleLight1" showFirstColumn="0" showLastColumn="0" showRowStripes="1" showColumnStripes="0"/>
</table>
</file>

<file path=xl/tables/table9.xml><?xml version="1.0" encoding="utf-8"?>
<table xmlns="http://schemas.openxmlformats.org/spreadsheetml/2006/main" id="33" name="Table33" displayName="Table33" ref="B205:I226" totalsRowShown="0" headerRowDxfId="1561" dataDxfId="1560" tableBorderDxfId="1559" headerRowCellStyle="Normal 3">
  <autoFilter ref="B205:I226"/>
  <tableColumns count="8">
    <tableColumn id="1" name="Religion" dataDxfId="1558" dataCellStyle="rowfield 3 2"/>
    <tableColumn id="2" name="Males" dataDxfId="1557" dataCellStyle="Comma 3"/>
    <tableColumn id="3" name="Females" dataDxfId="1556" dataCellStyle="Comma 3"/>
    <tableColumn id="4" name="Persons" dataDxfId="1555" dataCellStyle="Comma 3"/>
    <tableColumn id="5" name="% of population" dataDxfId="1554" dataCellStyle="Comma 3"/>
    <tableColumn id="6" name="2011 Census" dataDxfId="1553" dataCellStyle="Comma 3"/>
    <tableColumn id="7" name="Change 2011-2016" dataDxfId="1552" dataCellStyle="Comma 3"/>
    <tableColumn id="8" name="% change" dataDxfId="1551" dataCellStyle="Comma 3"/>
  </tableColumns>
  <tableStyleInfo name="TableStyleMedium5" showFirstColumn="0" showLastColumn="0" showRowStripes="1" showColumnStripes="0"/>
</table>
</file>

<file path=xl/tables/table90.xml><?xml version="1.0" encoding="utf-8"?>
<table xmlns="http://schemas.openxmlformats.org/spreadsheetml/2006/main" id="100" name="Table3102327995101" displayName="Table3102327995101" ref="B169:I179" totalsRowShown="0" headerRowDxfId="424" dataDxfId="423">
  <autoFilter ref="B169:I17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0" name="Ancestry (c)" dataDxfId="422" dataCellStyle="Normal 2"/>
    <tableColumn id="9" name="Both parents born in Australia" dataDxfId="421" dataCellStyle="Normal 2"/>
    <tableColumn id="2" name="Both parents born overseas" dataDxfId="420" dataCellStyle="Normal 2"/>
    <tableColumn id="3" name="One parent OSB/one parent Aust born" dataDxfId="419" dataCellStyle="Normal 2"/>
    <tableColumn id="4" name="Not stated - Birthplace for either or both parents not stated" dataDxfId="418" dataCellStyle="Normal 2"/>
    <tableColumn id="5" name=" " dataDxfId="417" dataCellStyle="Normal 2"/>
    <tableColumn id="6" name="   " dataDxfId="416" dataCellStyle="Normal 2"/>
    <tableColumn id="7" name="     " dataDxfId="415" dataCellStyle="Normal 2"/>
  </tableColumns>
  <tableStyleInfo name="TableStyleLight1" showFirstColumn="0" showLastColumn="0" showRowStripes="1" showColumnStripes="0"/>
</table>
</file>

<file path=xl/tables/table91.xml><?xml version="1.0" encoding="utf-8"?>
<table xmlns="http://schemas.openxmlformats.org/spreadsheetml/2006/main" id="102" name="Table79222681297103" displayName="Table79222681297103" ref="B210:J233" totalsRowCount="1" headerRowDxfId="414" dataDxfId="412" totalsRowDxfId="410" headerRowBorderDxfId="413" tableBorderDxfId="411">
  <autoFilter ref="B210:J2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sortState ref="B211:I230">
    <sortCondition descending="1" ref="E117:E128"/>
  </sortState>
  <tableColumns count="9">
    <tableColumn id="1" name="Religion" totalsRowLabel="Total persons" dataDxfId="409" totalsRowDxfId="408"/>
    <tableColumn id="2" name="Birthplace Australia" totalsRowFunction="custom" dataDxfId="407" totalsRowDxfId="406">
      <totalsRowFormula>C16</totalsRowFormula>
    </tableColumn>
    <tableColumn id="3" name="Overseas" totalsRowFunction="custom" dataDxfId="405" totalsRowDxfId="404">
      <totalsRowFormula>C17</totalsRowFormula>
    </tableColumn>
    <tableColumn id="4" name="Not stated" totalsRowFunction="custom" dataDxfId="403" totalsRowDxfId="402">
      <totalsRowFormula>C18</totalsRowFormula>
    </tableColumn>
    <tableColumn id="5" name="Age 01-14" totalsRowLabel="615" dataDxfId="401" totalsRowDxfId="400" dataCellStyle="Normal 2"/>
    <tableColumn id="6" name="15-24" totalsRowLabel="384" dataDxfId="399" totalsRowDxfId="398" dataCellStyle="Normal 2"/>
    <tableColumn id="7" name="25-44" totalsRowLabel="801" dataDxfId="397" totalsRowDxfId="396" dataCellStyle="Normal 2"/>
    <tableColumn id="8" name="56-64" totalsRowLabel="548" dataDxfId="395" totalsRowDxfId="394" dataCellStyle="Percent 2"/>
    <tableColumn id="9" name="65+" totalsRowLabel="106" dataDxfId="393" totalsRowDxfId="392" dataCellStyle="Normal 2"/>
  </tableColumns>
  <tableStyleInfo name="TableStyleLight1" showFirstColumn="0" showLastColumn="0" showRowStripes="1" showColumnStripes="0"/>
</table>
</file>

<file path=xl/tables/table92.xml><?xml version="1.0" encoding="utf-8"?>
<table xmlns="http://schemas.openxmlformats.org/spreadsheetml/2006/main" id="10" name="Table792226811961021081141011" displayName="Table792226811961021081141011" ref="B183:I206" totalsRowCount="1" headerRowDxfId="391" dataDxfId="389" totalsRowDxfId="387" headerRowBorderDxfId="390" tableBorderDxfId="388">
  <autoFilter ref="B183:I20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sortState ref="B184:I205">
    <sortCondition descending="1" ref="E118:E129"/>
  </sortState>
  <tableColumns count="8">
    <tableColumn id="1" name="Religion" totalsRowLabel="Total persons" dataDxfId="386" totalsRowDxfId="385"/>
    <tableColumn id="2" name="Males" totalsRowLabel="1229" dataDxfId="384" totalsRowDxfId="383"/>
    <tableColumn id="3" name="Females" totalsRowLabel="1222" dataDxfId="382" totalsRowDxfId="381"/>
    <tableColumn id="4" name="Persons" totalsRowFunction="custom" dataDxfId="380" totalsRowDxfId="379">
      <totalsRowFormula>C15</totalsRowFormula>
    </tableColumn>
    <tableColumn id="5" name="% of population" totalsRowLabel="100%" dataDxfId="378" totalsRowDxfId="377">
      <calculatedColumnFormula>(Table792226811961021081141011[[#This Row],[Persons]]/$C$15)</calculatedColumnFormula>
    </tableColumn>
    <tableColumn id="6" name="2011 Census" totalsRowFunction="custom" dataDxfId="376" totalsRowDxfId="375">
      <totalsRowFormula>E15</totalsRowFormula>
    </tableColumn>
    <tableColumn id="7" name="Change 2011-2016" totalsRowFunction="custom" dataDxfId="374" totalsRowDxfId="373">
      <calculatedColumnFormula>Table792226811961021081141011[[#This Row],[Persons]]-Table792226811961021081141011[[#This Row],[2011 Census]]</calculatedColumnFormula>
      <totalsRowFormula>SUM(Table792226811961021081141011[[#Totals],[Persons]]-Table792226811961021081141011[[#Totals],[2011 Census]])</totalsRowFormula>
    </tableColumn>
    <tableColumn id="8" name="% change" totalsRowFunction="custom" dataDxfId="372" totalsRowDxfId="371">
      <calculatedColumnFormula>IFERROR((Table792226811961021081141011[[#This Row],[Persons]]-Table792226811961021081141011[[#This Row],[2011 Census]])/Table792226811961021081141011[[#This Row],[2011 Census]],"..")</calculatedColumnFormula>
      <totalsRowFormula>SUM((Table792226811961021081141011[[#Totals],[Persons]]-Table792226811961021081141011[[#Totals],[2011 Census]])/Table792226811961021081141011[[#Totals],[2011 Census]])</totalsRowFormula>
    </tableColumn>
  </tableColumns>
  <tableStyleInfo name="TableStyleLight1" showFirstColumn="0" showLastColumn="0" showRowStripes="1" showColumnStripes="0"/>
</table>
</file>

<file path=xl/tables/table93.xml><?xml version="1.0" encoding="utf-8"?>
<table xmlns="http://schemas.openxmlformats.org/spreadsheetml/2006/main" id="115" name="Table55202469298116" displayName="Table55202469298116" ref="B30:H42" totalsRowShown="0" headerRowDxfId="370" dataDxfId="369" totalsRowDxfId="367" tableBorderDxfId="368">
  <autoFilter ref="B30:H42">
    <filterColumn colId="0" hiddenButton="1"/>
    <filterColumn colId="1" hiddenButton="1"/>
    <filterColumn colId="2" hiddenButton="1"/>
    <filterColumn colId="3" hiddenButton="1"/>
    <filterColumn colId="4" hiddenButton="1"/>
    <filterColumn colId="5" hiddenButton="1"/>
    <filterColumn colId="6" hiddenButton="1"/>
  </autoFilter>
  <sortState ref="B31:H40">
    <sortCondition descending="1" ref="E30:E40"/>
  </sortState>
  <tableColumns count="7">
    <tableColumn id="1" name="Birthplace" dataDxfId="366"/>
    <tableColumn id="12" name="Males 2016" dataDxfId="365"/>
    <tableColumn id="15" name="Females 2016" dataDxfId="364"/>
    <tableColumn id="16" name="Persons 2016" dataDxfId="363"/>
    <tableColumn id="5" name="% of OSB" dataDxfId="362">
      <calculatedColumnFormula>(Table55202469298116[[#This Row],[Persons 2016]]/$C$17)</calculatedColumnFormula>
    </tableColumn>
    <tableColumn id="27" name="Persons 2011" dataDxfId="361"/>
    <tableColumn id="8" name="% Change 2011-2016" dataDxfId="360">
      <calculatedColumnFormula>IFERROR((Table55202469298116[[#This Row],[Persons 2016]]-Table55202469298116[[#This Row],[Persons 2011]])/Table55202469298116[[#This Row],[Persons 2011]],"..")</calculatedColumnFormula>
    </tableColumn>
  </tableColumns>
  <tableStyleInfo name="TableStyleLight1" showFirstColumn="0" showLastColumn="0" showRowStripes="1" showColumnStripes="0"/>
</table>
</file>

<file path=xl/tables/table94.xml><?xml version="1.0" encoding="utf-8"?>
<table xmlns="http://schemas.openxmlformats.org/spreadsheetml/2006/main" id="116" name="Table4791113157212579399117" displayName="Table4791113157212579399117" ref="B14:G25" totalsRowShown="0" headerRowDxfId="359" dataDxfId="358" tableBorderDxfId="357">
  <autoFilter ref="B14:G25">
    <filterColumn colId="0" hiddenButton="1"/>
    <filterColumn colId="1" hiddenButton="1"/>
    <filterColumn colId="2" hiddenButton="1"/>
    <filterColumn colId="3" hiddenButton="1"/>
    <filterColumn colId="4" hiddenButton="1"/>
    <filterColumn colId="5" hiddenButton="1"/>
  </autoFilter>
  <tableColumns count="6">
    <tableColumn id="1" name="Summary indicators" dataDxfId="356"/>
    <tableColumn id="2" name="Persons" dataDxfId="355"/>
    <tableColumn id="8" name="% of population" dataDxfId="354">
      <calculatedColumnFormula>(C15/$C$15)</calculatedColumnFormula>
    </tableColumn>
    <tableColumn id="9" name="2011 Census" dataDxfId="353"/>
    <tableColumn id="10" name="Change 2011-2016" dataDxfId="352">
      <calculatedColumnFormula>(Table4791113157212579399117[[#This Row],[Persons]]-Table4791113157212579399117[[#This Row],[2011 Census]])</calculatedColumnFormula>
    </tableColumn>
    <tableColumn id="11" name="% change" dataDxfId="351">
      <calculatedColumnFormula>(Table4791113157212579399117[[#This Row],[Change 2011-2016]]/Table4791113157212579399117[[#This Row],[2011 Census]])</calculatedColumnFormula>
    </tableColumn>
  </tableColumns>
  <tableStyleInfo name="TableStyleLight1" showFirstColumn="0" showLastColumn="0" showRowStripes="1" showColumnStripes="0"/>
</table>
</file>

<file path=xl/tables/table95.xml><?xml version="1.0" encoding="utf-8"?>
<table xmlns="http://schemas.openxmlformats.org/spreadsheetml/2006/main" id="117" name="Table792226894100118" displayName="Table792226894100118" ref="B117:H129" totalsRowCount="1" headerRowDxfId="350" dataDxfId="348" totalsRowDxfId="346" headerRowBorderDxfId="349" tableBorderDxfId="347">
  <autoFilter ref="B117:H128">
    <filterColumn colId="0" hiddenButton="1"/>
    <filterColumn colId="1" hiddenButton="1"/>
    <filterColumn colId="2" hiddenButton="1"/>
    <filterColumn colId="3" hiddenButton="1"/>
    <filterColumn colId="4" hiddenButton="1"/>
    <filterColumn colId="5" hiddenButton="1"/>
    <filterColumn colId="6" hiddenButton="1"/>
  </autoFilter>
  <sortState ref="B118:H128">
    <sortCondition descending="1" ref="E117:E128"/>
  </sortState>
  <tableColumns count="7">
    <tableColumn id="1" name="Language" totalsRowLabel="Total LOTE speakers (b)" dataDxfId="345" totalsRowDxfId="344"/>
    <tableColumn id="2" name="Males" totalsRowLabel="669" dataDxfId="343" totalsRowDxfId="342" dataCellStyle="Normal 2"/>
    <tableColumn id="3" name="Females" totalsRowLabel="690" dataDxfId="341" totalsRowDxfId="340" dataCellStyle="Normal 2"/>
    <tableColumn id="4" name="Persons" totalsRowLabel="1,363" dataDxfId="339" totalsRowDxfId="338" dataCellStyle="Normal 2"/>
    <tableColumn id="5" name="% of LOTE speakers" totalsRowLabel="100%" dataDxfId="337" totalsRowDxfId="336" dataCellStyle="Normal 2">
      <calculatedColumnFormula>IFERROR(Table792226894100118[[#This Row],[Persons]]/$C$23,"..")</calculatedColumnFormula>
    </tableColumn>
    <tableColumn id="6" name="2011 Census" totalsRowFunction="custom" dataDxfId="335" totalsRowDxfId="334" dataCellStyle="Normal 2">
      <totalsRowFormula>E23</totalsRowFormula>
    </tableColumn>
    <tableColumn id="8" name="% change 2011-2016" totalsRowFunction="custom" dataDxfId="333" totalsRowDxfId="332" dataCellStyle="Percent 2">
      <calculatedColumnFormula>IFERROR((E118-G118)/G118,"..")</calculatedColumnFormula>
      <totalsRowFormula>(Table792226894100118[[#Totals],[Persons]]-G129)/G129</totalsRowFormula>
    </tableColumn>
  </tableColumns>
  <tableStyleInfo name="TableStyleLight1" showFirstColumn="0" showLastColumn="0" showRowStripes="1" showColumnStripes="0"/>
</table>
</file>

<file path=xl/tables/table96.xml><?xml version="1.0" encoding="utf-8"?>
<table xmlns="http://schemas.openxmlformats.org/spreadsheetml/2006/main" id="118" name="Table3102327995101119" displayName="Table3102327995101119" ref="B169:I179" totalsRowShown="0" headerRowDxfId="331" dataDxfId="330">
  <autoFilter ref="B169:I17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0" name="Ancestry (c)" dataDxfId="329" dataCellStyle="Normal 2"/>
    <tableColumn id="9" name="Both parents born in Australia" dataDxfId="328" dataCellStyle="Normal 2"/>
    <tableColumn id="2" name="Both parents born overseas" dataDxfId="327" dataCellStyle="Normal 2"/>
    <tableColumn id="3" name="One parent OSB/one parent Aust born" dataDxfId="326" dataCellStyle="Normal 2"/>
    <tableColumn id="4" name="Not stated - Birthplace for either or both parents not stated" dataDxfId="325" dataCellStyle="Normal 2"/>
    <tableColumn id="5" name=" " dataDxfId="324" dataCellStyle="Normal 2"/>
    <tableColumn id="6" name="   " dataDxfId="323" dataCellStyle="Normal 2"/>
    <tableColumn id="7" name="    " dataDxfId="322" dataCellStyle="Normal 2"/>
  </tableColumns>
  <tableStyleInfo name="TableStyleLight1" showFirstColumn="0" showLastColumn="0" showRowStripes="1" showColumnStripes="0"/>
</table>
</file>

<file path=xl/tables/table97.xml><?xml version="1.0" encoding="utf-8"?>
<table xmlns="http://schemas.openxmlformats.org/spreadsheetml/2006/main" id="120" name="Table79222681297103121" displayName="Table79222681297103121" ref="B210:J233" totalsRowCount="1" headerRowDxfId="321" dataDxfId="319" totalsRowDxfId="317" headerRowBorderDxfId="320" tableBorderDxfId="318">
  <autoFilter ref="B210:J2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sortState ref="B211:I230">
    <sortCondition descending="1" ref="E117:E128"/>
  </sortState>
  <tableColumns count="9">
    <tableColumn id="1" name="Religion" totalsRowLabel="Total persons" dataDxfId="316" totalsRowDxfId="315"/>
    <tableColumn id="2" name="Birthplace Australia" totalsRowFunction="custom" dataDxfId="314" totalsRowDxfId="313">
      <totalsRowFormula>C16</totalsRowFormula>
    </tableColumn>
    <tableColumn id="3" name="Overseas" totalsRowFunction="custom" dataDxfId="312" totalsRowDxfId="311">
      <totalsRowFormula>C17</totalsRowFormula>
    </tableColumn>
    <tableColumn id="4" name="Not stated" totalsRowFunction="custom" dataDxfId="310" totalsRowDxfId="309">
      <totalsRowFormula>C18</totalsRowFormula>
    </tableColumn>
    <tableColumn id="5" name="Age 01-14" totalsRowLabel="764" dataDxfId="308" totalsRowDxfId="307" dataCellStyle="Normal 2"/>
    <tableColumn id="6" name="15-24" totalsRowLabel="510" dataDxfId="306" totalsRowDxfId="305" dataCellStyle="Normal 2"/>
    <tableColumn id="7" name="25-44" totalsRowLabel="757" dataDxfId="304" totalsRowDxfId="303" dataCellStyle="Normal 2"/>
    <tableColumn id="8" name="56-64" totalsRowLabel="589" dataDxfId="302" totalsRowDxfId="301" dataCellStyle="Percent 2"/>
    <tableColumn id="9" name="65+" totalsRowLabel="195" dataDxfId="300" totalsRowDxfId="299" dataCellStyle="Normal 2"/>
  </tableColumns>
  <tableStyleInfo name="TableStyleLight1" showFirstColumn="0" showLastColumn="0" showRowStripes="1" showColumnStripes="0"/>
</table>
</file>

<file path=xl/tables/table98.xml><?xml version="1.0" encoding="utf-8"?>
<table xmlns="http://schemas.openxmlformats.org/spreadsheetml/2006/main" id="13" name="Table79222681196102108114101114" displayName="Table79222681196102108114101114" ref="B183:I206" totalsRowCount="1" headerRowDxfId="298" dataDxfId="296" totalsRowDxfId="294" headerRowBorderDxfId="297" tableBorderDxfId="295">
  <autoFilter ref="B183:I20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sortState ref="B184:I205">
    <sortCondition descending="1" ref="E117:E128"/>
  </sortState>
  <tableColumns count="8">
    <tableColumn id="1" name="Religion" totalsRowLabel="Total persons" dataDxfId="293" totalsRowDxfId="292"/>
    <tableColumn id="2" name="Males" totalsRowLabel="1443" dataDxfId="291" totalsRowDxfId="290"/>
    <tableColumn id="3" name="Females" totalsRowLabel="1370" dataDxfId="289" totalsRowDxfId="288"/>
    <tableColumn id="4" name="Persons" totalsRowFunction="custom" dataDxfId="287" totalsRowDxfId="286">
      <totalsRowFormula>C15</totalsRowFormula>
    </tableColumn>
    <tableColumn id="5" name="% of population" totalsRowLabel="100%" dataDxfId="285" totalsRowDxfId="284">
      <calculatedColumnFormula>(Table79222681196102108114101114[[#This Row],[Persons]]/$C$15)</calculatedColumnFormula>
    </tableColumn>
    <tableColumn id="6" name="2011 Census" totalsRowFunction="custom" dataDxfId="283" totalsRowDxfId="282">
      <totalsRowFormula>E15</totalsRowFormula>
    </tableColumn>
    <tableColumn id="7" name="Change 2011-2016" totalsRowFunction="custom" dataDxfId="281" totalsRowDxfId="280">
      <calculatedColumnFormula>Table79222681196102108114101114[[#This Row],[Persons]]-Table79222681196102108114101114[[#This Row],[2011 Census]]</calculatedColumnFormula>
      <totalsRowFormula>SUM(Table79222681196102108114101114[[#Totals],[Persons]]-Table79222681196102108114101114[[#Totals],[2011 Census]])</totalsRowFormula>
    </tableColumn>
    <tableColumn id="8" name="% change" totalsRowFunction="custom" dataDxfId="279" totalsRowDxfId="278">
      <calculatedColumnFormula>IFERROR((Table79222681196102108114101114[[#This Row],[Persons]]-Table79222681196102108114101114[[#This Row],[2011 Census]])/Table79222681196102108114101114[[#This Row],[2011 Census]],"..")</calculatedColumnFormula>
      <totalsRowFormula>SUM((Table79222681196102108114101114[[#Totals],[Persons]]-Table79222681196102108114101114[[#Totals],[2011 Census]])/Table79222681196102108114101114[[#Totals],[2011 Census]])</totalsRowFormula>
    </tableColumn>
  </tableColumns>
  <tableStyleInfo name="TableStyleLight1" showFirstColumn="0" showLastColumn="0" showRowStripes="1" showColumnStripes="0"/>
</table>
</file>

<file path=xl/tables/table99.xml><?xml version="1.0" encoding="utf-8"?>
<table xmlns="http://schemas.openxmlformats.org/spreadsheetml/2006/main" id="127" name="Table55202469298116128" displayName="Table55202469298116128" ref="B30:H42" totalsRowShown="0" headerRowDxfId="277" dataDxfId="276" totalsRowDxfId="274" tableBorderDxfId="275">
  <autoFilter ref="B30:H42">
    <filterColumn colId="0" hiddenButton="1"/>
    <filterColumn colId="1" hiddenButton="1"/>
    <filterColumn colId="2" hiddenButton="1"/>
    <filterColumn colId="3" hiddenButton="1"/>
    <filterColumn colId="4" hiddenButton="1"/>
    <filterColumn colId="5" hiddenButton="1"/>
    <filterColumn colId="6" hiddenButton="1"/>
  </autoFilter>
  <sortState ref="B31:H40">
    <sortCondition descending="1" ref="E30:E40"/>
  </sortState>
  <tableColumns count="7">
    <tableColumn id="1" name="Birthplace" dataDxfId="273"/>
    <tableColumn id="12" name="Males 2016" dataDxfId="272"/>
    <tableColumn id="15" name="Females 2016" dataDxfId="271"/>
    <tableColumn id="16" name="Persons 2016" dataDxfId="270"/>
    <tableColumn id="5" name="% of OSB" dataDxfId="269">
      <calculatedColumnFormula>IFERROR((Table55202469298116128[[#This Row],[Persons 2016]]/$C$17),"..")</calculatedColumnFormula>
    </tableColumn>
    <tableColumn id="27" name="Persons 2011" dataDxfId="268"/>
    <tableColumn id="8" name="% Change 2011-2016" dataDxfId="267">
      <calculatedColumnFormula>SUM((Table55202469298116128[[#This Row],[Persons 2016]]-Table55202469298116128[[#This Row],[Persons 2011]])/Table55202469298116128[[#This Row],[Persons 2011]])</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table" Target="../tables/table51.xml"/><Relationship Id="rId3" Type="http://schemas.openxmlformats.org/officeDocument/2006/relationships/table" Target="../tables/table46.xml"/><Relationship Id="rId7" Type="http://schemas.openxmlformats.org/officeDocument/2006/relationships/table" Target="../tables/table50.xml"/><Relationship Id="rId2" Type="http://schemas.openxmlformats.org/officeDocument/2006/relationships/drawing" Target="../drawings/drawing9.xml"/><Relationship Id="rId1" Type="http://schemas.openxmlformats.org/officeDocument/2006/relationships/printerSettings" Target="../printerSettings/printerSettings7.bin"/><Relationship Id="rId6" Type="http://schemas.openxmlformats.org/officeDocument/2006/relationships/table" Target="../tables/table49.xml"/><Relationship Id="rId5" Type="http://schemas.openxmlformats.org/officeDocument/2006/relationships/table" Target="../tables/table48.xml"/><Relationship Id="rId4" Type="http://schemas.openxmlformats.org/officeDocument/2006/relationships/table" Target="../tables/table47.xml"/></Relationships>
</file>

<file path=xl/worksheets/_rels/sheet11.xml.rels><?xml version="1.0" encoding="UTF-8" standalone="yes"?>
<Relationships xmlns="http://schemas.openxmlformats.org/package/2006/relationships"><Relationship Id="rId8" Type="http://schemas.openxmlformats.org/officeDocument/2006/relationships/table" Target="../tables/table57.xml"/><Relationship Id="rId3" Type="http://schemas.openxmlformats.org/officeDocument/2006/relationships/table" Target="../tables/table52.xml"/><Relationship Id="rId7" Type="http://schemas.openxmlformats.org/officeDocument/2006/relationships/table" Target="../tables/table56.xml"/><Relationship Id="rId2" Type="http://schemas.openxmlformats.org/officeDocument/2006/relationships/drawing" Target="../drawings/drawing10.xml"/><Relationship Id="rId1" Type="http://schemas.openxmlformats.org/officeDocument/2006/relationships/printerSettings" Target="../printerSettings/printerSettings8.bin"/><Relationship Id="rId6" Type="http://schemas.openxmlformats.org/officeDocument/2006/relationships/table" Target="../tables/table55.xml"/><Relationship Id="rId5" Type="http://schemas.openxmlformats.org/officeDocument/2006/relationships/table" Target="../tables/table54.xml"/><Relationship Id="rId4" Type="http://schemas.openxmlformats.org/officeDocument/2006/relationships/table" Target="../tables/table53.xml"/></Relationships>
</file>

<file path=xl/worksheets/_rels/sheet12.xml.rels><?xml version="1.0" encoding="UTF-8" standalone="yes"?>
<Relationships xmlns="http://schemas.openxmlformats.org/package/2006/relationships"><Relationship Id="rId8" Type="http://schemas.openxmlformats.org/officeDocument/2006/relationships/table" Target="../tables/table62.xml"/><Relationship Id="rId3" Type="http://schemas.openxmlformats.org/officeDocument/2006/relationships/vmlDrawing" Target="../drawings/vmlDrawing1.vml"/><Relationship Id="rId7" Type="http://schemas.openxmlformats.org/officeDocument/2006/relationships/table" Target="../tables/table61.xml"/><Relationship Id="rId2" Type="http://schemas.openxmlformats.org/officeDocument/2006/relationships/drawing" Target="../drawings/drawing11.xml"/><Relationship Id="rId1" Type="http://schemas.openxmlformats.org/officeDocument/2006/relationships/printerSettings" Target="../printerSettings/printerSettings9.bin"/><Relationship Id="rId6" Type="http://schemas.openxmlformats.org/officeDocument/2006/relationships/table" Target="../tables/table60.xml"/><Relationship Id="rId11" Type="http://schemas.openxmlformats.org/officeDocument/2006/relationships/comments" Target="../comments1.xml"/><Relationship Id="rId5" Type="http://schemas.openxmlformats.org/officeDocument/2006/relationships/table" Target="../tables/table59.xml"/><Relationship Id="rId10" Type="http://schemas.openxmlformats.org/officeDocument/2006/relationships/table" Target="../tables/table64.xml"/><Relationship Id="rId4" Type="http://schemas.openxmlformats.org/officeDocument/2006/relationships/table" Target="../tables/table58.xml"/><Relationship Id="rId9" Type="http://schemas.openxmlformats.org/officeDocument/2006/relationships/table" Target="../tables/table63.xml"/></Relationships>
</file>

<file path=xl/worksheets/_rels/sheet13.xml.rels><?xml version="1.0" encoding="UTF-8" standalone="yes"?>
<Relationships xmlns="http://schemas.openxmlformats.org/package/2006/relationships"><Relationship Id="rId8" Type="http://schemas.openxmlformats.org/officeDocument/2006/relationships/table" Target="../tables/table70.xml"/><Relationship Id="rId3" Type="http://schemas.openxmlformats.org/officeDocument/2006/relationships/table" Target="../tables/table65.xml"/><Relationship Id="rId7" Type="http://schemas.openxmlformats.org/officeDocument/2006/relationships/table" Target="../tables/table69.xml"/><Relationship Id="rId2" Type="http://schemas.openxmlformats.org/officeDocument/2006/relationships/drawing" Target="../drawings/drawing12.xml"/><Relationship Id="rId1" Type="http://schemas.openxmlformats.org/officeDocument/2006/relationships/printerSettings" Target="../printerSettings/printerSettings10.bin"/><Relationship Id="rId6" Type="http://schemas.openxmlformats.org/officeDocument/2006/relationships/table" Target="../tables/table68.xml"/><Relationship Id="rId5" Type="http://schemas.openxmlformats.org/officeDocument/2006/relationships/table" Target="../tables/table67.xml"/><Relationship Id="rId4" Type="http://schemas.openxmlformats.org/officeDocument/2006/relationships/table" Target="../tables/table66.xml"/></Relationships>
</file>

<file path=xl/worksheets/_rels/sheet14.xml.rels><?xml version="1.0" encoding="UTF-8" standalone="yes"?>
<Relationships xmlns="http://schemas.openxmlformats.org/package/2006/relationships"><Relationship Id="rId8" Type="http://schemas.openxmlformats.org/officeDocument/2006/relationships/table" Target="../tables/table76.xml"/><Relationship Id="rId3" Type="http://schemas.openxmlformats.org/officeDocument/2006/relationships/table" Target="../tables/table71.xml"/><Relationship Id="rId7" Type="http://schemas.openxmlformats.org/officeDocument/2006/relationships/table" Target="../tables/table75.xml"/><Relationship Id="rId12" Type="http://schemas.openxmlformats.org/officeDocument/2006/relationships/table" Target="../tables/table80.xml"/><Relationship Id="rId2" Type="http://schemas.openxmlformats.org/officeDocument/2006/relationships/drawing" Target="../drawings/drawing13.xml"/><Relationship Id="rId1" Type="http://schemas.openxmlformats.org/officeDocument/2006/relationships/printerSettings" Target="../printerSettings/printerSettings11.bin"/><Relationship Id="rId6" Type="http://schemas.openxmlformats.org/officeDocument/2006/relationships/table" Target="../tables/table74.xml"/><Relationship Id="rId11" Type="http://schemas.openxmlformats.org/officeDocument/2006/relationships/table" Target="../tables/table79.xml"/><Relationship Id="rId5" Type="http://schemas.openxmlformats.org/officeDocument/2006/relationships/table" Target="../tables/table73.xml"/><Relationship Id="rId10" Type="http://schemas.openxmlformats.org/officeDocument/2006/relationships/table" Target="../tables/table78.xml"/><Relationship Id="rId4" Type="http://schemas.openxmlformats.org/officeDocument/2006/relationships/table" Target="../tables/table72.xml"/><Relationship Id="rId9" Type="http://schemas.openxmlformats.org/officeDocument/2006/relationships/table" Target="../tables/table77.xml"/></Relationships>
</file>

<file path=xl/worksheets/_rels/sheet15.xml.rels><?xml version="1.0" encoding="UTF-8" standalone="yes"?>
<Relationships xmlns="http://schemas.openxmlformats.org/package/2006/relationships"><Relationship Id="rId8" Type="http://schemas.openxmlformats.org/officeDocument/2006/relationships/table" Target="../tables/table86.xml"/><Relationship Id="rId3" Type="http://schemas.openxmlformats.org/officeDocument/2006/relationships/table" Target="../tables/table81.xml"/><Relationship Id="rId7" Type="http://schemas.openxmlformats.org/officeDocument/2006/relationships/table" Target="../tables/table85.xml"/><Relationship Id="rId2" Type="http://schemas.openxmlformats.org/officeDocument/2006/relationships/drawing" Target="../drawings/drawing14.xml"/><Relationship Id="rId1" Type="http://schemas.openxmlformats.org/officeDocument/2006/relationships/printerSettings" Target="../printerSettings/printerSettings12.bin"/><Relationship Id="rId6" Type="http://schemas.openxmlformats.org/officeDocument/2006/relationships/table" Target="../tables/table84.xml"/><Relationship Id="rId5" Type="http://schemas.openxmlformats.org/officeDocument/2006/relationships/table" Target="../tables/table83.xml"/><Relationship Id="rId4" Type="http://schemas.openxmlformats.org/officeDocument/2006/relationships/table" Target="../tables/table82.xml"/></Relationships>
</file>

<file path=xl/worksheets/_rels/sheet16.xml.rels><?xml version="1.0" encoding="UTF-8" standalone="yes"?>
<Relationships xmlns="http://schemas.openxmlformats.org/package/2006/relationships"><Relationship Id="rId8" Type="http://schemas.openxmlformats.org/officeDocument/2006/relationships/table" Target="../tables/table92.xml"/><Relationship Id="rId3" Type="http://schemas.openxmlformats.org/officeDocument/2006/relationships/table" Target="../tables/table87.xml"/><Relationship Id="rId7" Type="http://schemas.openxmlformats.org/officeDocument/2006/relationships/table" Target="../tables/table91.xml"/><Relationship Id="rId2" Type="http://schemas.openxmlformats.org/officeDocument/2006/relationships/drawing" Target="../drawings/drawing15.xml"/><Relationship Id="rId1" Type="http://schemas.openxmlformats.org/officeDocument/2006/relationships/printerSettings" Target="../printerSettings/printerSettings13.bin"/><Relationship Id="rId6" Type="http://schemas.openxmlformats.org/officeDocument/2006/relationships/table" Target="../tables/table90.xml"/><Relationship Id="rId5" Type="http://schemas.openxmlformats.org/officeDocument/2006/relationships/table" Target="../tables/table89.xml"/><Relationship Id="rId4" Type="http://schemas.openxmlformats.org/officeDocument/2006/relationships/table" Target="../tables/table88.xml"/></Relationships>
</file>

<file path=xl/worksheets/_rels/sheet17.xml.rels><?xml version="1.0" encoding="UTF-8" standalone="yes"?>
<Relationships xmlns="http://schemas.openxmlformats.org/package/2006/relationships"><Relationship Id="rId8" Type="http://schemas.openxmlformats.org/officeDocument/2006/relationships/table" Target="../tables/table98.xml"/><Relationship Id="rId3" Type="http://schemas.openxmlformats.org/officeDocument/2006/relationships/table" Target="../tables/table93.xml"/><Relationship Id="rId7" Type="http://schemas.openxmlformats.org/officeDocument/2006/relationships/table" Target="../tables/table97.xml"/><Relationship Id="rId2" Type="http://schemas.openxmlformats.org/officeDocument/2006/relationships/drawing" Target="../drawings/drawing16.xml"/><Relationship Id="rId1" Type="http://schemas.openxmlformats.org/officeDocument/2006/relationships/printerSettings" Target="../printerSettings/printerSettings14.bin"/><Relationship Id="rId6" Type="http://schemas.openxmlformats.org/officeDocument/2006/relationships/table" Target="../tables/table96.xml"/><Relationship Id="rId5" Type="http://schemas.openxmlformats.org/officeDocument/2006/relationships/table" Target="../tables/table95.xml"/><Relationship Id="rId4" Type="http://schemas.openxmlformats.org/officeDocument/2006/relationships/table" Target="../tables/table94.xml"/></Relationships>
</file>

<file path=xl/worksheets/_rels/sheet18.xml.rels><?xml version="1.0" encoding="UTF-8" standalone="yes"?>
<Relationships xmlns="http://schemas.openxmlformats.org/package/2006/relationships"><Relationship Id="rId8" Type="http://schemas.openxmlformats.org/officeDocument/2006/relationships/table" Target="../tables/table104.xml"/><Relationship Id="rId3" Type="http://schemas.openxmlformats.org/officeDocument/2006/relationships/table" Target="../tables/table99.xml"/><Relationship Id="rId7" Type="http://schemas.openxmlformats.org/officeDocument/2006/relationships/table" Target="../tables/table103.xml"/><Relationship Id="rId2" Type="http://schemas.openxmlformats.org/officeDocument/2006/relationships/drawing" Target="../drawings/drawing17.xml"/><Relationship Id="rId1" Type="http://schemas.openxmlformats.org/officeDocument/2006/relationships/printerSettings" Target="../printerSettings/printerSettings15.bin"/><Relationship Id="rId6" Type="http://schemas.openxmlformats.org/officeDocument/2006/relationships/table" Target="../tables/table102.xml"/><Relationship Id="rId5" Type="http://schemas.openxmlformats.org/officeDocument/2006/relationships/table" Target="../tables/table101.xml"/><Relationship Id="rId4" Type="http://schemas.openxmlformats.org/officeDocument/2006/relationships/table" Target="../tables/table100.xml"/></Relationships>
</file>

<file path=xl/worksheets/_rels/sheet19.xml.rels><?xml version="1.0" encoding="UTF-8" standalone="yes"?>
<Relationships xmlns="http://schemas.openxmlformats.org/package/2006/relationships"><Relationship Id="rId8" Type="http://schemas.openxmlformats.org/officeDocument/2006/relationships/table" Target="../tables/table110.xml"/><Relationship Id="rId3" Type="http://schemas.openxmlformats.org/officeDocument/2006/relationships/table" Target="../tables/table105.xml"/><Relationship Id="rId7" Type="http://schemas.openxmlformats.org/officeDocument/2006/relationships/table" Target="../tables/table109.xml"/><Relationship Id="rId2" Type="http://schemas.openxmlformats.org/officeDocument/2006/relationships/drawing" Target="../drawings/drawing18.xml"/><Relationship Id="rId1" Type="http://schemas.openxmlformats.org/officeDocument/2006/relationships/printerSettings" Target="../printerSettings/printerSettings16.bin"/><Relationship Id="rId6" Type="http://schemas.openxmlformats.org/officeDocument/2006/relationships/table" Target="../tables/table108.xml"/><Relationship Id="rId5" Type="http://schemas.openxmlformats.org/officeDocument/2006/relationships/table" Target="../tables/table107.xml"/><Relationship Id="rId4" Type="http://schemas.openxmlformats.org/officeDocument/2006/relationships/table" Target="../tables/table106.xml"/></Relationships>
</file>

<file path=xl/worksheets/_rels/sheet20.xml.rels><?xml version="1.0" encoding="UTF-8" standalone="yes"?>
<Relationships xmlns="http://schemas.openxmlformats.org/package/2006/relationships"><Relationship Id="rId8" Type="http://schemas.openxmlformats.org/officeDocument/2006/relationships/table" Target="../tables/table116.xml"/><Relationship Id="rId3" Type="http://schemas.openxmlformats.org/officeDocument/2006/relationships/table" Target="../tables/table111.xml"/><Relationship Id="rId7" Type="http://schemas.openxmlformats.org/officeDocument/2006/relationships/table" Target="../tables/table115.xml"/><Relationship Id="rId2" Type="http://schemas.openxmlformats.org/officeDocument/2006/relationships/drawing" Target="../drawings/drawing19.xml"/><Relationship Id="rId1" Type="http://schemas.openxmlformats.org/officeDocument/2006/relationships/printerSettings" Target="../printerSettings/printerSettings17.bin"/><Relationship Id="rId6" Type="http://schemas.openxmlformats.org/officeDocument/2006/relationships/table" Target="../tables/table114.xml"/><Relationship Id="rId5" Type="http://schemas.openxmlformats.org/officeDocument/2006/relationships/table" Target="../tables/table113.xml"/><Relationship Id="rId4" Type="http://schemas.openxmlformats.org/officeDocument/2006/relationships/table" Target="../tables/table112.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3" Type="http://schemas.openxmlformats.org/officeDocument/2006/relationships/hyperlink" Target="http://www.abs.gov.au/ausstats/abs@.nsf/mf/1269.0" TargetMode="External"/><Relationship Id="rId2" Type="http://schemas.openxmlformats.org/officeDocument/2006/relationships/hyperlink" Target="http://www.abs.gov.au/ausstats/abs@.nsf/mf/1266.0" TargetMode="External"/><Relationship Id="rId1" Type="http://schemas.openxmlformats.org/officeDocument/2006/relationships/hyperlink" Target="http://www.abs.gov.au/ausstats/abs@.nsf/mf/1267.0" TargetMode="External"/><Relationship Id="rId5" Type="http://schemas.openxmlformats.org/officeDocument/2006/relationships/printerSettings" Target="../printerSettings/printerSettings20.bin"/><Relationship Id="rId4" Type="http://schemas.openxmlformats.org/officeDocument/2006/relationships/hyperlink" Target="http://www.abs.gov.au/ausstats/abs@.nsf/mf/1249.0" TargetMode="External"/></Relationships>
</file>

<file path=xl/worksheets/_rels/sheet3.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drawing" Target="../drawings/drawing2.xml"/><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6.xml"/><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_rels/sheet5.xml.rels><?xml version="1.0" encoding="UTF-8" standalone="yes"?>
<Relationships xmlns="http://schemas.openxmlformats.org/package/2006/relationships"><Relationship Id="rId8" Type="http://schemas.openxmlformats.org/officeDocument/2006/relationships/table" Target="../tables/table22.xml"/><Relationship Id="rId3" Type="http://schemas.openxmlformats.org/officeDocument/2006/relationships/table" Target="../tables/table17.xml"/><Relationship Id="rId7" Type="http://schemas.openxmlformats.org/officeDocument/2006/relationships/table" Target="../tables/table21.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table" Target="../tables/table20.xml"/><Relationship Id="rId5" Type="http://schemas.openxmlformats.org/officeDocument/2006/relationships/table" Target="../tables/table19.xml"/><Relationship Id="rId4" Type="http://schemas.openxmlformats.org/officeDocument/2006/relationships/table" Target="../tables/table18.xml"/></Relationships>
</file>

<file path=xl/worksheets/_rels/sheet6.xml.rels><?xml version="1.0" encoding="UTF-8" standalone="yes"?>
<Relationships xmlns="http://schemas.openxmlformats.org/package/2006/relationships"><Relationship Id="rId8" Type="http://schemas.openxmlformats.org/officeDocument/2006/relationships/table" Target="../tables/table28.xml"/><Relationship Id="rId3" Type="http://schemas.openxmlformats.org/officeDocument/2006/relationships/table" Target="../tables/table23.xml"/><Relationship Id="rId7" Type="http://schemas.openxmlformats.org/officeDocument/2006/relationships/table" Target="../tables/table27.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table" Target="../tables/table26.xml"/><Relationship Id="rId5" Type="http://schemas.openxmlformats.org/officeDocument/2006/relationships/table" Target="../tables/table25.xml"/><Relationship Id="rId4" Type="http://schemas.openxmlformats.org/officeDocument/2006/relationships/table" Target="../tables/table24.xml"/></Relationships>
</file>

<file path=xl/worksheets/_rels/sheet7.xml.rels><?xml version="1.0" encoding="UTF-8" standalone="yes"?>
<Relationships xmlns="http://schemas.openxmlformats.org/package/2006/relationships"><Relationship Id="rId8" Type="http://schemas.openxmlformats.org/officeDocument/2006/relationships/table" Target="../tables/table34.xml"/><Relationship Id="rId3" Type="http://schemas.openxmlformats.org/officeDocument/2006/relationships/table" Target="../tables/table29.xml"/><Relationship Id="rId7" Type="http://schemas.openxmlformats.org/officeDocument/2006/relationships/table" Target="../tables/table33.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table" Target="../tables/table32.xml"/><Relationship Id="rId5" Type="http://schemas.openxmlformats.org/officeDocument/2006/relationships/table" Target="../tables/table31.xml"/><Relationship Id="rId4" Type="http://schemas.openxmlformats.org/officeDocument/2006/relationships/table" Target="../tables/table30.xml"/></Relationships>
</file>

<file path=xl/worksheets/_rels/sheet8.xml.rels><?xml version="1.0" encoding="UTF-8" standalone="yes"?>
<Relationships xmlns="http://schemas.openxmlformats.org/package/2006/relationships"><Relationship Id="rId8" Type="http://schemas.openxmlformats.org/officeDocument/2006/relationships/table" Target="../tables/table40.xml"/><Relationship Id="rId3" Type="http://schemas.openxmlformats.org/officeDocument/2006/relationships/table" Target="../tables/table35.xml"/><Relationship Id="rId7" Type="http://schemas.openxmlformats.org/officeDocument/2006/relationships/table" Target="../tables/table39.xml"/><Relationship Id="rId2" Type="http://schemas.openxmlformats.org/officeDocument/2006/relationships/drawing" Target="../drawings/drawing7.xml"/><Relationship Id="rId1" Type="http://schemas.openxmlformats.org/officeDocument/2006/relationships/printerSettings" Target="../printerSettings/printerSettings6.bin"/><Relationship Id="rId6" Type="http://schemas.openxmlformats.org/officeDocument/2006/relationships/table" Target="../tables/table38.xml"/><Relationship Id="rId5" Type="http://schemas.openxmlformats.org/officeDocument/2006/relationships/table" Target="../tables/table37.xml"/><Relationship Id="rId4" Type="http://schemas.openxmlformats.org/officeDocument/2006/relationships/table" Target="../tables/table3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42.xml"/><Relationship Id="rId2" Type="http://schemas.openxmlformats.org/officeDocument/2006/relationships/table" Target="../tables/table41.xml"/><Relationship Id="rId1" Type="http://schemas.openxmlformats.org/officeDocument/2006/relationships/drawing" Target="../drawings/drawing8.xml"/><Relationship Id="rId6" Type="http://schemas.openxmlformats.org/officeDocument/2006/relationships/table" Target="../tables/table45.xml"/><Relationship Id="rId5" Type="http://schemas.openxmlformats.org/officeDocument/2006/relationships/table" Target="../tables/table44.xml"/><Relationship Id="rId4"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tabSelected="1" topLeftCell="A4" workbookViewId="0">
      <selection activeCell="A18" sqref="A18"/>
    </sheetView>
  </sheetViews>
  <sheetFormatPr defaultColWidth="8.875" defaultRowHeight="15"/>
  <cols>
    <col min="1" max="1" width="11.5" style="2" customWidth="1"/>
    <col min="2" max="2" width="47.125" style="2" customWidth="1"/>
    <col min="3" max="3" width="8.875" style="2"/>
    <col min="4" max="4" width="9.625" style="2" customWidth="1"/>
    <col min="5" max="5" width="73.5" style="2" customWidth="1"/>
    <col min="6" max="6" width="82.125" style="2" customWidth="1"/>
    <col min="7" max="16384" width="8.875" style="2"/>
  </cols>
  <sheetData>
    <row r="1" spans="1:5" ht="21">
      <c r="A1" s="1" t="s">
        <v>889</v>
      </c>
    </row>
    <row r="2" spans="1:5" s="3" customFormat="1" ht="15.75">
      <c r="A2" s="3" t="s">
        <v>888</v>
      </c>
    </row>
    <row r="3" spans="1:5" s="3" customFormat="1" ht="15.95" customHeight="1"/>
    <row r="4" spans="1:5">
      <c r="A4" s="4" t="s">
        <v>340</v>
      </c>
      <c r="B4" s="2" t="s">
        <v>341</v>
      </c>
    </row>
    <row r="5" spans="1:5" ht="15.95" customHeight="1">
      <c r="A5" s="4" t="s">
        <v>342</v>
      </c>
      <c r="B5" s="2" t="s">
        <v>343</v>
      </c>
    </row>
    <row r="6" spans="1:5">
      <c r="A6" s="4" t="s">
        <v>344</v>
      </c>
      <c r="B6" s="2" t="s">
        <v>345</v>
      </c>
    </row>
    <row r="7" spans="1:5">
      <c r="A7" s="4" t="s">
        <v>346</v>
      </c>
      <c r="B7" s="2" t="s">
        <v>347</v>
      </c>
    </row>
    <row r="9" spans="1:5" ht="15.75">
      <c r="A9" s="1195" t="s">
        <v>919</v>
      </c>
      <c r="B9" s="1194" t="s">
        <v>756</v>
      </c>
    </row>
    <row r="11" spans="1:5">
      <c r="A11" s="5" t="s">
        <v>348</v>
      </c>
      <c r="D11" s="307" t="s">
        <v>349</v>
      </c>
    </row>
    <row r="12" spans="1:5" ht="12" customHeight="1">
      <c r="A12" s="305">
        <v>3.1</v>
      </c>
      <c r="B12" s="2" t="s">
        <v>350</v>
      </c>
      <c r="D12" s="1223">
        <v>3.1</v>
      </c>
      <c r="E12" s="6" t="s">
        <v>351</v>
      </c>
    </row>
    <row r="13" spans="1:5" ht="15" customHeight="1">
      <c r="A13" s="305">
        <v>3.2</v>
      </c>
      <c r="B13" s="2" t="s">
        <v>356</v>
      </c>
      <c r="D13" s="1223">
        <v>3.2</v>
      </c>
      <c r="E13" s="6" t="s">
        <v>353</v>
      </c>
    </row>
    <row r="14" spans="1:5" ht="15.95" customHeight="1">
      <c r="A14" s="305">
        <v>3.3</v>
      </c>
      <c r="B14" s="2" t="s">
        <v>358</v>
      </c>
      <c r="D14" s="304">
        <v>3.3</v>
      </c>
      <c r="E14" s="6" t="s">
        <v>834</v>
      </c>
    </row>
    <row r="15" spans="1:5" ht="30">
      <c r="A15" s="305">
        <v>3.4</v>
      </c>
      <c r="B15" s="2" t="s">
        <v>611</v>
      </c>
      <c r="D15" s="1222" t="s">
        <v>355</v>
      </c>
    </row>
    <row r="16" spans="1:5" ht="15.75">
      <c r="A16" s="305">
        <v>3.5</v>
      </c>
      <c r="B16" s="2" t="s">
        <v>612</v>
      </c>
      <c r="D16" s="304">
        <v>3.4</v>
      </c>
      <c r="E16" s="6" t="s">
        <v>357</v>
      </c>
    </row>
    <row r="17" spans="1:5" ht="15.75">
      <c r="A17" s="305">
        <v>3.6</v>
      </c>
      <c r="B17" s="2" t="s">
        <v>613</v>
      </c>
      <c r="D17" s="4"/>
      <c r="E17" s="6"/>
    </row>
    <row r="18" spans="1:5" ht="15.75">
      <c r="A18" s="305">
        <v>3.7</v>
      </c>
      <c r="B18" s="2" t="s">
        <v>352</v>
      </c>
      <c r="D18" s="4"/>
    </row>
    <row r="19" spans="1:5" ht="15.75">
      <c r="A19" s="305">
        <v>3.8</v>
      </c>
      <c r="B19" s="2" t="s">
        <v>614</v>
      </c>
      <c r="D19" s="4"/>
      <c r="E19" s="6"/>
    </row>
    <row r="20" spans="1:5" ht="15.95" customHeight="1">
      <c r="A20" s="305">
        <v>3.9</v>
      </c>
      <c r="B20" s="2" t="s">
        <v>623</v>
      </c>
      <c r="C20" s="11"/>
      <c r="D20" s="4"/>
    </row>
    <row r="21" spans="1:5" ht="15.75">
      <c r="A21" s="305" t="s">
        <v>615</v>
      </c>
      <c r="B21" s="2" t="s">
        <v>354</v>
      </c>
      <c r="C21" s="11"/>
    </row>
    <row r="22" spans="1:5" ht="15.95" customHeight="1">
      <c r="A22" s="305" t="s">
        <v>616</v>
      </c>
      <c r="B22" s="2" t="s">
        <v>624</v>
      </c>
      <c r="C22" s="11"/>
      <c r="D22" s="1227" t="s">
        <v>743</v>
      </c>
      <c r="E22" s="1227"/>
    </row>
    <row r="23" spans="1:5" ht="15.75">
      <c r="A23" s="305" t="s">
        <v>617</v>
      </c>
      <c r="B23" s="2" t="s">
        <v>625</v>
      </c>
      <c r="C23" s="11"/>
      <c r="D23" s="1227"/>
      <c r="E23" s="1227"/>
    </row>
    <row r="24" spans="1:5" ht="15.75">
      <c r="A24" s="305" t="s">
        <v>618</v>
      </c>
      <c r="B24" s="2" t="s">
        <v>626</v>
      </c>
      <c r="C24" s="11"/>
      <c r="D24" s="1227"/>
      <c r="E24" s="1227"/>
    </row>
    <row r="25" spans="1:5" ht="15.75">
      <c r="A25" s="305" t="s">
        <v>619</v>
      </c>
      <c r="B25" s="2" t="s">
        <v>627</v>
      </c>
      <c r="C25" s="11"/>
      <c r="D25" s="1227"/>
      <c r="E25" s="1227"/>
    </row>
    <row r="26" spans="1:5" ht="15.95" customHeight="1">
      <c r="A26" s="305" t="s">
        <v>620</v>
      </c>
      <c r="B26" s="2" t="s">
        <v>628</v>
      </c>
      <c r="C26" s="11"/>
      <c r="D26" s="1227"/>
      <c r="E26" s="1227"/>
    </row>
    <row r="27" spans="1:5" ht="15.75">
      <c r="A27" s="305" t="s">
        <v>621</v>
      </c>
      <c r="B27" s="2" t="s">
        <v>629</v>
      </c>
      <c r="C27" s="11"/>
      <c r="D27" s="1188"/>
      <c r="E27" s="1188"/>
    </row>
    <row r="28" spans="1:5" ht="15.95" customHeight="1">
      <c r="A28" s="305" t="s">
        <v>622</v>
      </c>
      <c r="B28" s="2" t="s">
        <v>630</v>
      </c>
      <c r="C28" s="11"/>
      <c r="D28" s="1227" t="s">
        <v>744</v>
      </c>
      <c r="E28" s="1228"/>
    </row>
    <row r="29" spans="1:5" ht="15.75">
      <c r="A29" s="1195">
        <v>3.18</v>
      </c>
      <c r="B29" s="2" t="s">
        <v>631</v>
      </c>
      <c r="C29" s="11"/>
      <c r="D29" s="1228"/>
      <c r="E29" s="1228"/>
    </row>
    <row r="30" spans="1:5">
      <c r="A30" s="303"/>
      <c r="B30" s="11"/>
      <c r="C30" s="11"/>
    </row>
    <row r="31" spans="1:5">
      <c r="A31" s="7"/>
      <c r="B31" s="11"/>
      <c r="C31" s="11"/>
    </row>
    <row r="32" spans="1:5">
      <c r="A32" s="4"/>
      <c r="B32" s="11"/>
      <c r="C32" s="11"/>
    </row>
    <row r="33" spans="1:3">
      <c r="A33" s="7"/>
      <c r="B33" s="11"/>
      <c r="C33" s="11"/>
    </row>
    <row r="34" spans="1:3">
      <c r="B34" s="11"/>
      <c r="C34" s="11"/>
    </row>
    <row r="35" spans="1:3">
      <c r="B35" s="11"/>
      <c r="C35" s="11"/>
    </row>
    <row r="36" spans="1:3">
      <c r="B36" s="11"/>
      <c r="C36" s="11"/>
    </row>
    <row r="37" spans="1:3">
      <c r="B37" s="11"/>
      <c r="C37" s="11"/>
    </row>
    <row r="38" spans="1:3">
      <c r="B38" s="11"/>
      <c r="C38" s="11"/>
    </row>
    <row r="39" spans="1:3">
      <c r="B39" s="11"/>
      <c r="C39" s="11"/>
    </row>
    <row r="40" spans="1:3">
      <c r="B40" s="11"/>
      <c r="C40" s="11"/>
    </row>
    <row r="41" spans="1:3">
      <c r="B41" s="11"/>
      <c r="C41" s="11"/>
    </row>
    <row r="42" spans="1:3">
      <c r="B42" s="11"/>
      <c r="C42" s="11"/>
    </row>
    <row r="43" spans="1:3">
      <c r="B43" s="11"/>
      <c r="C43" s="11"/>
    </row>
    <row r="44" spans="1:3">
      <c r="B44" s="11"/>
      <c r="C44" s="11"/>
    </row>
    <row r="45" spans="1:3">
      <c r="B45" s="11"/>
      <c r="C45" s="11"/>
    </row>
    <row r="46" spans="1:3">
      <c r="C46" s="11"/>
    </row>
    <row r="47" spans="1:3">
      <c r="C47" s="11"/>
    </row>
    <row r="48" spans="1:3">
      <c r="C48" s="11"/>
    </row>
  </sheetData>
  <sheetProtection algorithmName="SHA-512" hashValue="WM+jl5r3vw/W2yuUhfefjdpSkGS2qvZQw3yteu/EoiUjlb3LrNi5lTzdY3lj707xf4msoZYD53sZ0U5daDXP4A==" saltValue="Nm7URjAcvv8xSn8S3+l37w==" spinCount="100000" sheet="1" objects="1" scenarios="1"/>
  <mergeCells count="2">
    <mergeCell ref="D28:E29"/>
    <mergeCell ref="D22:E26"/>
  </mergeCells>
  <hyperlinks>
    <hyperlink ref="A4" location="'Appendix A'!A1" display="Appendix A"/>
    <hyperlink ref="A5" location="'Appendix B'!A1" display="Appendix B"/>
    <hyperlink ref="A6" location="'Appendix C'!A1" display="Appendix C"/>
    <hyperlink ref="A7" location="'Appendix D'!A1" display="Appendix D"/>
    <hyperlink ref="D14" location="'Chart 3.3'!A1" display="'Chart 3.3'!A1"/>
    <hyperlink ref="D16" location="'Pyramid 3.4'!A1" display="'Pyramid 3.4'!A1"/>
    <hyperlink ref="A12" location="'3.1 Northern Territory'!A1" display="'3.1 Northern Territory'!A1"/>
    <hyperlink ref="A13" location="'3.2 Alice Springs'!A1" display="'3.2 Alice Springs'!A1"/>
    <hyperlink ref="A14" location="'3.3 Barkly'!A1" display="'3.3 Barkly'!A1"/>
    <hyperlink ref="A15" location="'3.4 Belyuen'!A1" display="'3.4 Belyuen'!A1"/>
    <hyperlink ref="A16" location="'3.5 Central Desert'!A1" display="'3.5 Central Desert'!A1"/>
    <hyperlink ref="A17" location="'3.6 Coomalie'!A1" display="'3.6 Coomalie'!A1"/>
    <hyperlink ref="A18" location="'3.7 Darwin'!A1" display="'3.7 Darwin'!A1"/>
    <hyperlink ref="A19" location="'3.8 East Arnhem'!A1" display="'3.8 East Arnhem'!A1"/>
    <hyperlink ref="A20" location="'3.9 Katherine'!A1" display="'3.9 Katherine'!A1"/>
    <hyperlink ref="A21" location="'3.10 Litchfield'!A1" display="3.10"/>
    <hyperlink ref="A22" location="'3.11 MacDonnell'!A1" display="3.11"/>
    <hyperlink ref="A23" location="'3.12 Palmerston'!A1" display="3.12"/>
    <hyperlink ref="A24" location="'3.13 Roper Gulf'!A1" display="3.13"/>
    <hyperlink ref="A25" location="'3.14 Tiwi Islands'!A1" display="3.14"/>
    <hyperlink ref="A26" location="'3.15 Victoria Daly'!A1" display="3.15"/>
    <hyperlink ref="A27" location="'3.16 Wagait'!A1" display="3.16"/>
    <hyperlink ref="A28" location="'3.17 West Arnhem'!A1" display="3.17"/>
    <hyperlink ref="A9" location="Summary!A1" display="Summary"/>
    <hyperlink ref="A29" location="'3.18 West Daly LGA'!A1" display="'3.18 West Daly LGA'!A1"/>
    <hyperlink ref="D12" location="'Chart 3.1'!A1" display="'Chart 3.1'!A1"/>
    <hyperlink ref="D13" location="'Chart 3.2'!A1" display="'Chart 3.2'!A1"/>
  </hyperlinks>
  <pageMargins left="0.7" right="0.7" top="0.75" bottom="0.75" header="0.3" footer="0.3"/>
  <pageSetup paperSize="9" orientation="portrait" r:id="rId1"/>
  <ignoredErrors>
    <ignoredError sqref="A21:A29"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240"/>
  <sheetViews>
    <sheetView showGridLines="0" topLeftCell="A58" zoomScaleNormal="100" zoomScaleSheetLayoutView="120" zoomScalePageLayoutView="75" workbookViewId="0">
      <selection activeCell="J1" sqref="J1:K1"/>
    </sheetView>
  </sheetViews>
  <sheetFormatPr defaultColWidth="15.625" defaultRowHeight="12.75"/>
  <cols>
    <col min="1" max="1" width="5.875" style="149" customWidth="1"/>
    <col min="2" max="2" width="41.625" style="149" customWidth="1"/>
    <col min="3" max="11" width="10.875" style="149" customWidth="1"/>
    <col min="12" max="14" width="15.625" style="149" customWidth="1"/>
    <col min="15" max="18" width="15.625" style="149"/>
    <col min="19" max="28" width="15.625" style="149" customWidth="1"/>
    <col min="29" max="16384" width="15.625" style="149"/>
  </cols>
  <sheetData>
    <row r="1" spans="2:11" ht="15.75">
      <c r="B1" s="122"/>
      <c r="C1" s="122"/>
      <c r="D1" s="122"/>
      <c r="E1" s="122"/>
      <c r="J1" s="1229" t="s">
        <v>359</v>
      </c>
      <c r="K1" s="1229"/>
    </row>
    <row r="2" spans="2:11" ht="30">
      <c r="B2" s="333" t="s">
        <v>907</v>
      </c>
      <c r="C2" s="120"/>
      <c r="D2" s="120"/>
      <c r="E2" s="120"/>
      <c r="F2" s="120"/>
      <c r="G2" s="650"/>
      <c r="H2" s="650"/>
      <c r="I2" s="650"/>
      <c r="J2" s="650"/>
      <c r="K2" s="650"/>
    </row>
    <row r="3" spans="2:11">
      <c r="B3" s="122"/>
      <c r="C3" s="122"/>
      <c r="D3" s="122"/>
      <c r="E3" s="122"/>
      <c r="F3" s="122"/>
    </row>
    <row r="4" spans="2:11">
      <c r="B4" s="122"/>
      <c r="C4" s="122"/>
      <c r="D4" s="122"/>
      <c r="E4" s="122"/>
      <c r="F4" s="122"/>
    </row>
    <row r="5" spans="2:11">
      <c r="B5" s="123"/>
      <c r="C5" s="123"/>
      <c r="D5" s="123"/>
      <c r="E5" s="122"/>
      <c r="F5" s="122"/>
    </row>
    <row r="6" spans="2:11" ht="15.75">
      <c r="B6" s="124" t="s">
        <v>0</v>
      </c>
      <c r="C6" s="53" t="s">
        <v>1</v>
      </c>
      <c r="D6" s="123"/>
      <c r="E6" s="122"/>
      <c r="F6" s="122"/>
    </row>
    <row r="7" spans="2:11" ht="15.75">
      <c r="B7" s="126" t="s">
        <v>2</v>
      </c>
      <c r="C7" s="53">
        <f>D16</f>
        <v>0.96521161090183916</v>
      </c>
      <c r="D7" s="123"/>
      <c r="E7" s="122"/>
      <c r="F7" s="122"/>
    </row>
    <row r="8" spans="2:11" ht="15.75">
      <c r="B8" s="126" t="s">
        <v>3</v>
      </c>
      <c r="C8" s="53">
        <f>D18</f>
        <v>1.9610015510746731E-2</v>
      </c>
      <c r="D8" s="123"/>
      <c r="E8" s="122"/>
      <c r="F8" s="122"/>
    </row>
    <row r="9" spans="2:11" ht="15.75">
      <c r="B9" s="126" t="s">
        <v>4</v>
      </c>
      <c r="C9" s="53">
        <f>D19</f>
        <v>8.7524927985818748E-3</v>
      </c>
      <c r="D9" s="123"/>
      <c r="E9" s="122"/>
      <c r="F9" s="122"/>
    </row>
    <row r="10" spans="2:11" ht="15.75">
      <c r="B10" s="126"/>
      <c r="C10" s="53"/>
      <c r="D10" s="123"/>
      <c r="E10" s="122"/>
      <c r="F10" s="122"/>
    </row>
    <row r="11" spans="2:11" ht="15.75">
      <c r="B11" s="126" t="s">
        <v>5</v>
      </c>
      <c r="C11" s="53">
        <f>D20</f>
        <v>6.8690449811655216E-3</v>
      </c>
      <c r="D11" s="123"/>
      <c r="E11" s="122"/>
      <c r="F11" s="122"/>
    </row>
    <row r="12" spans="2:11" ht="23.25">
      <c r="B12" s="127" t="s">
        <v>697</v>
      </c>
    </row>
    <row r="14" spans="2:11" s="128" customFormat="1" ht="25.5">
      <c r="B14" s="252" t="s">
        <v>0</v>
      </c>
      <c r="C14" s="233" t="s">
        <v>6</v>
      </c>
      <c r="D14" s="233" t="s">
        <v>1</v>
      </c>
      <c r="E14" s="233" t="s">
        <v>7</v>
      </c>
      <c r="F14" s="233" t="s">
        <v>65</v>
      </c>
      <c r="G14" s="233" t="s">
        <v>8</v>
      </c>
    </row>
    <row r="15" spans="2:11" s="129" customFormat="1">
      <c r="B15" s="262" t="s">
        <v>9</v>
      </c>
      <c r="C15" s="55">
        <v>9026</v>
      </c>
      <c r="D15" s="54">
        <f t="shared" ref="D15:D25" si="0">(C15/$C$15)</f>
        <v>1</v>
      </c>
      <c r="E15" s="55">
        <v>9098</v>
      </c>
      <c r="F15" s="55">
        <f>(Table47911131572125793[[#This Row],[Persons]]-Table47911131572125793[[#This Row],[2011 Census]])</f>
        <v>-72</v>
      </c>
      <c r="G15" s="54">
        <f>IFERROR(Table47911131572125793[[#This Row],[Change 2011-2016]]/Table47911131572125793[[#This Row],[2011 Census]],"..")</f>
        <v>-7.9138272147724776E-3</v>
      </c>
    </row>
    <row r="16" spans="2:11" s="129" customFormat="1">
      <c r="B16" s="262" t="s">
        <v>2</v>
      </c>
      <c r="C16" s="55">
        <v>8712</v>
      </c>
      <c r="D16" s="54">
        <f t="shared" si="0"/>
        <v>0.96521161090183916</v>
      </c>
      <c r="E16" s="55">
        <v>9040</v>
      </c>
      <c r="F16" s="55">
        <f>(Table47911131572125793[[#This Row],[Persons]]-Table47911131572125793[[#This Row],[2011 Census]])</f>
        <v>-328</v>
      </c>
      <c r="G16" s="54">
        <f>IFERROR(Table47911131572125793[[#This Row],[Change 2011-2016]]/Table47911131572125793[[#This Row],[2011 Census]],"..")</f>
        <v>-3.6283185840707964E-2</v>
      </c>
    </row>
    <row r="17" spans="2:10" s="129" customFormat="1">
      <c r="B17" s="262" t="s">
        <v>362</v>
      </c>
      <c r="C17" s="55">
        <v>138</v>
      </c>
      <c r="D17" s="54">
        <f t="shared" si="0"/>
        <v>1.5289164635497452E-2</v>
      </c>
      <c r="E17" s="512">
        <v>13</v>
      </c>
      <c r="F17" s="55">
        <f>(Table47911131572125793[[#This Row],[Persons]]-Table47911131572125793[[#This Row],[2011 Census]])</f>
        <v>125</v>
      </c>
      <c r="G17" s="54">
        <f>IFERROR(Table47911131572125793[[#This Row],[Change 2011-2016]]/Table47911131572125793[[#This Row],[2011 Census]],"..")</f>
        <v>9.615384615384615</v>
      </c>
    </row>
    <row r="18" spans="2:10" s="129" customFormat="1">
      <c r="B18" s="262" t="s">
        <v>3</v>
      </c>
      <c r="C18" s="55">
        <v>177</v>
      </c>
      <c r="D18" s="54">
        <f t="shared" si="0"/>
        <v>1.9610015510746731E-2</v>
      </c>
      <c r="E18" s="512">
        <v>46</v>
      </c>
      <c r="F18" s="55">
        <f>(Table47911131572125793[[#This Row],[Persons]]-Table47911131572125793[[#This Row],[2011 Census]])</f>
        <v>131</v>
      </c>
      <c r="G18" s="54">
        <f>IFERROR(Table47911131572125793[[#This Row],[Change 2011-2016]]/Table47911131572125793[[#This Row],[2011 Census]],"..")</f>
        <v>2.847826086956522</v>
      </c>
    </row>
    <row r="19" spans="2:10" s="129" customFormat="1">
      <c r="B19" s="262" t="s">
        <v>4</v>
      </c>
      <c r="C19" s="55">
        <v>79</v>
      </c>
      <c r="D19" s="54">
        <f t="shared" si="0"/>
        <v>8.7524927985818748E-3</v>
      </c>
      <c r="E19" s="512">
        <v>8</v>
      </c>
      <c r="F19" s="55">
        <f>(Table47911131572125793[[#This Row],[Persons]]-Table47911131572125793[[#This Row],[2011 Census]])</f>
        <v>71</v>
      </c>
      <c r="G19" s="54">
        <f>IFERROR(Table47911131572125793[[#This Row],[Change 2011-2016]]/Table47911131572125793[[#This Row],[2011 Census]],"..")</f>
        <v>8.875</v>
      </c>
    </row>
    <row r="20" spans="2:10" s="129" customFormat="1">
      <c r="B20" s="262" t="s">
        <v>5</v>
      </c>
      <c r="C20" s="55">
        <v>62</v>
      </c>
      <c r="D20" s="54">
        <f t="shared" si="0"/>
        <v>6.8690449811655216E-3</v>
      </c>
      <c r="E20" s="512">
        <v>9</v>
      </c>
      <c r="F20" s="55">
        <f>(Table47911131572125793[[#This Row],[Persons]]-Table47911131572125793[[#This Row],[2011 Census]])</f>
        <v>53</v>
      </c>
      <c r="G20" s="54">
        <f>IFERROR(Table47911131572125793[[#This Row],[Change 2011-2016]]/Table47911131572125793[[#This Row],[2011 Census]],"..")</f>
        <v>5.8888888888888893</v>
      </c>
    </row>
    <row r="21" spans="2:10" s="129" customFormat="1">
      <c r="B21" s="262" t="s">
        <v>11</v>
      </c>
      <c r="C21" s="55">
        <v>67</v>
      </c>
      <c r="D21" s="54">
        <f t="shared" si="0"/>
        <v>7.4230002215820963E-3</v>
      </c>
      <c r="E21" s="512">
        <v>8</v>
      </c>
      <c r="F21" s="55">
        <f>(Table47911131572125793[[#This Row],[Persons]]-Table47911131572125793[[#This Row],[2011 Census]])</f>
        <v>59</v>
      </c>
      <c r="G21" s="54">
        <f>IFERROR(Table47911131572125793[[#This Row],[Change 2011-2016]]/Table47911131572125793[[#This Row],[2011 Census]],"..")</f>
        <v>7.375</v>
      </c>
    </row>
    <row r="22" spans="2:10" s="129" customFormat="1">
      <c r="B22" s="262" t="s">
        <v>12</v>
      </c>
      <c r="C22" s="55">
        <v>8438</v>
      </c>
      <c r="D22" s="54">
        <f t="shared" si="0"/>
        <v>0.93485486372701088</v>
      </c>
      <c r="E22" s="512">
        <v>8299</v>
      </c>
      <c r="F22" s="55">
        <f>(Table47911131572125793[[#This Row],[Persons]]-Table47911131572125793[[#This Row],[2011 Census]])</f>
        <v>139</v>
      </c>
      <c r="G22" s="54">
        <f>IFERROR(Table47911131572125793[[#This Row],[Change 2011-2016]]/Table47911131572125793[[#This Row],[2011 Census]],"..")</f>
        <v>1.6749005904325823E-2</v>
      </c>
    </row>
    <row r="23" spans="2:10" s="129" customFormat="1">
      <c r="B23" s="262" t="s">
        <v>13</v>
      </c>
      <c r="C23" s="55">
        <v>8064</v>
      </c>
      <c r="D23" s="54">
        <f t="shared" si="0"/>
        <v>0.89341901174385108</v>
      </c>
      <c r="E23" s="512">
        <v>7983</v>
      </c>
      <c r="F23" s="55">
        <f>(Table47911131572125793[[#This Row],[Persons]]-Table47911131572125793[[#This Row],[2011 Census]])</f>
        <v>81</v>
      </c>
      <c r="G23" s="54">
        <f>IFERROR(Table47911131572125793[[#This Row],[Change 2011-2016]]/Table47911131572125793[[#This Row],[2011 Census]],"..")</f>
        <v>1.0146561443066516E-2</v>
      </c>
    </row>
    <row r="24" spans="2:10" s="129" customFormat="1">
      <c r="B24" s="262" t="s">
        <v>869</v>
      </c>
      <c r="C24" s="55">
        <v>43</v>
      </c>
      <c r="D24" s="54">
        <f t="shared" si="0"/>
        <v>4.7640150675825393E-3</v>
      </c>
      <c r="E24" s="512">
        <v>6</v>
      </c>
      <c r="F24" s="55">
        <f>(Table47911131572125793[[#This Row],[Persons]]-Table47911131572125793[[#This Row],[2011 Census]])</f>
        <v>37</v>
      </c>
      <c r="G24" s="54">
        <f>IFERROR(Table47911131572125793[[#This Row],[Change 2011-2016]]/Table47911131572125793[[#This Row],[2011 Census]],"..")</f>
        <v>6.166666666666667</v>
      </c>
    </row>
    <row r="25" spans="2:10" s="129" customFormat="1" ht="18" customHeight="1">
      <c r="B25" s="262" t="s">
        <v>870</v>
      </c>
      <c r="C25" s="55">
        <v>12</v>
      </c>
      <c r="D25" s="54">
        <f t="shared" si="0"/>
        <v>1.3294925769997785E-3</v>
      </c>
      <c r="E25" s="512">
        <v>3</v>
      </c>
      <c r="F25" s="55">
        <f>(Table47911131572125793[[#This Row],[Persons]]-Table47911131572125793[[#This Row],[2011 Census]])</f>
        <v>9</v>
      </c>
      <c r="G25" s="54">
        <f>IFERROR(Table47911131572125793[[#This Row],[Change 2011-2016]]/Table47911131572125793[[#This Row],[2011 Census]],"..")</f>
        <v>3</v>
      </c>
    </row>
    <row r="26" spans="2:10" s="329" customFormat="1">
      <c r="B26" s="349" t="s">
        <v>366</v>
      </c>
    </row>
    <row r="27" spans="2:10" s="329" customFormat="1">
      <c r="B27" s="349"/>
    </row>
    <row r="28" spans="2:10" s="329" customFormat="1" ht="23.25">
      <c r="B28" s="127" t="s">
        <v>698</v>
      </c>
      <c r="D28" s="513"/>
      <c r="E28" s="514"/>
      <c r="F28" s="514"/>
      <c r="G28" s="514"/>
    </row>
    <row r="29" spans="2:10" s="329" customFormat="1" ht="15.75">
      <c r="B29" s="133" t="s">
        <v>333</v>
      </c>
    </row>
    <row r="30" spans="2:10" s="128" customFormat="1" ht="25.5">
      <c r="B30" s="252" t="s">
        <v>14</v>
      </c>
      <c r="C30" s="252" t="s">
        <v>15</v>
      </c>
      <c r="D30" s="252" t="s">
        <v>16</v>
      </c>
      <c r="E30" s="252" t="s">
        <v>17</v>
      </c>
      <c r="F30" s="252" t="s">
        <v>18</v>
      </c>
      <c r="G30" s="252" t="s">
        <v>19</v>
      </c>
      <c r="H30" s="252" t="s">
        <v>20</v>
      </c>
      <c r="I30" s="1240"/>
      <c r="J30" s="1240"/>
    </row>
    <row r="31" spans="2:10" s="329" customFormat="1">
      <c r="B31" s="907" t="s">
        <v>73</v>
      </c>
      <c r="C31" s="287">
        <v>15</v>
      </c>
      <c r="D31" s="287">
        <v>23</v>
      </c>
      <c r="E31" s="287">
        <v>38</v>
      </c>
      <c r="F31" s="288">
        <f>IFERROR((Table552024692[[#This Row],[Persons 2016]]/$C$17),"..")</f>
        <v>0.27536231884057971</v>
      </c>
      <c r="G31" s="908"/>
      <c r="H31" s="288" t="str">
        <f>IFERROR((Table552024692[[#This Row],[Persons 2016]]-Table552024692[[#This Row],[Persons 2011]])/Table552024692[[#This Row],[Persons 2011]],"..")</f>
        <v>..</v>
      </c>
      <c r="I31" s="1250"/>
      <c r="J31" s="1250"/>
    </row>
    <row r="32" spans="2:10" s="329" customFormat="1">
      <c r="B32" s="655" t="s">
        <v>92</v>
      </c>
      <c r="C32" s="287">
        <v>17</v>
      </c>
      <c r="D32" s="287">
        <v>13</v>
      </c>
      <c r="E32" s="287">
        <v>29</v>
      </c>
      <c r="F32" s="288">
        <f>IFERROR((Table552024692[[#This Row],[Persons 2016]]/$C$17),"..")</f>
        <v>0.21014492753623187</v>
      </c>
      <c r="G32" s="908"/>
      <c r="H32" s="288" t="str">
        <f>IFERROR((Table552024692[[#This Row],[Persons 2016]]-Table552024692[[#This Row],[Persons 2011]])/Table552024692[[#This Row],[Persons 2011]],"..")</f>
        <v>..</v>
      </c>
      <c r="I32" s="1250"/>
      <c r="J32" s="1250"/>
    </row>
    <row r="33" spans="2:10" s="329" customFormat="1">
      <c r="B33" s="655" t="s">
        <v>75</v>
      </c>
      <c r="C33" s="287">
        <v>0</v>
      </c>
      <c r="D33" s="287">
        <v>5</v>
      </c>
      <c r="E33" s="287">
        <v>8</v>
      </c>
      <c r="F33" s="288">
        <f>IFERROR((Table552024692[[#This Row],[Persons 2016]]/$C$17),"..")</f>
        <v>5.7971014492753624E-2</v>
      </c>
      <c r="G33" s="908" t="s">
        <v>94</v>
      </c>
      <c r="H33" s="288" t="str">
        <f>IFERROR((Table552024692[[#This Row],[Persons 2016]]-Table552024692[[#This Row],[Persons 2011]])/Table552024692[[#This Row],[Persons 2011]],"..")</f>
        <v>..</v>
      </c>
      <c r="I33" s="1250"/>
      <c r="J33" s="1250"/>
    </row>
    <row r="34" spans="2:10" s="329" customFormat="1">
      <c r="B34" s="655" t="s">
        <v>74</v>
      </c>
      <c r="C34" s="287">
        <v>3</v>
      </c>
      <c r="D34" s="287">
        <v>4</v>
      </c>
      <c r="E34" s="287">
        <v>7</v>
      </c>
      <c r="F34" s="288">
        <f>IFERROR((Table552024692[[#This Row],[Persons 2016]]/$C$17),"..")</f>
        <v>5.0724637681159424E-2</v>
      </c>
      <c r="G34" s="908" t="s">
        <v>94</v>
      </c>
      <c r="H34" s="288" t="str">
        <f>IFERROR((Table552024692[[#This Row],[Persons 2016]]-Table552024692[[#This Row],[Persons 2011]])/Table552024692[[#This Row],[Persons 2011]],"..")</f>
        <v>..</v>
      </c>
      <c r="I34" s="1250"/>
      <c r="J34" s="1250"/>
    </row>
    <row r="35" spans="2:10" s="329" customFormat="1">
      <c r="B35" s="655" t="s">
        <v>79</v>
      </c>
      <c r="C35" s="287">
        <v>0</v>
      </c>
      <c r="D35" s="287">
        <v>0</v>
      </c>
      <c r="E35" s="287">
        <v>6</v>
      </c>
      <c r="F35" s="288">
        <f>IFERROR((Table552024692[[#This Row],[Persons 2016]]/$C$17),"..")</f>
        <v>4.3478260869565216E-2</v>
      </c>
      <c r="G35" s="908" t="s">
        <v>94</v>
      </c>
      <c r="H35" s="288" t="str">
        <f>IFERROR((Table552024692[[#This Row],[Persons 2016]]-Table552024692[[#This Row],[Persons 2011]])/Table552024692[[#This Row],[Persons 2011]],"..")</f>
        <v>..</v>
      </c>
      <c r="I35" s="1250"/>
      <c r="J35" s="1250"/>
    </row>
    <row r="36" spans="2:10" s="329" customFormat="1">
      <c r="B36" s="655" t="s">
        <v>80</v>
      </c>
      <c r="C36" s="287">
        <v>5</v>
      </c>
      <c r="D36" s="287">
        <v>0</v>
      </c>
      <c r="E36" s="287">
        <v>5</v>
      </c>
      <c r="F36" s="288">
        <f>IFERROR((Table552024692[[#This Row],[Persons 2016]]/$C$17),"..")</f>
        <v>3.6231884057971016E-2</v>
      </c>
      <c r="G36" s="908" t="s">
        <v>94</v>
      </c>
      <c r="H36" s="288" t="str">
        <f>IFERROR((Table552024692[[#This Row],[Persons 2016]]-Table552024692[[#This Row],[Persons 2011]])/Table552024692[[#This Row],[Persons 2011]],"..")</f>
        <v>..</v>
      </c>
      <c r="I36" s="1250"/>
      <c r="J36" s="1250"/>
    </row>
    <row r="37" spans="2:10" s="329" customFormat="1">
      <c r="B37" s="655" t="s">
        <v>129</v>
      </c>
      <c r="C37" s="287">
        <v>4</v>
      </c>
      <c r="D37" s="287">
        <v>0</v>
      </c>
      <c r="E37" s="287">
        <v>4</v>
      </c>
      <c r="F37" s="288">
        <f>IFERROR((Table552024692[[#This Row],[Persons 2016]]/$C$17),"..")</f>
        <v>2.8985507246376812E-2</v>
      </c>
      <c r="G37" s="908" t="s">
        <v>94</v>
      </c>
      <c r="H37" s="288" t="str">
        <f>IFERROR((Table552024692[[#This Row],[Persons 2016]]-Table552024692[[#This Row],[Persons 2011]])/Table552024692[[#This Row],[Persons 2011]],"..")</f>
        <v>..</v>
      </c>
      <c r="I37" s="1250"/>
      <c r="J37" s="1250"/>
    </row>
    <row r="38" spans="2:10" s="329" customFormat="1">
      <c r="B38" s="655" t="s">
        <v>133</v>
      </c>
      <c r="C38" s="287">
        <v>0</v>
      </c>
      <c r="D38" s="287">
        <v>0</v>
      </c>
      <c r="E38" s="287">
        <v>4</v>
      </c>
      <c r="F38" s="288">
        <f>IFERROR((Table552024692[[#This Row],[Persons 2016]]/$C$17),"..")</f>
        <v>2.8985507246376812E-2</v>
      </c>
      <c r="G38" s="908" t="s">
        <v>94</v>
      </c>
      <c r="H38" s="288" t="str">
        <f>IFERROR((Table552024692[[#This Row],[Persons 2016]]-Table552024692[[#This Row],[Persons 2011]])/Table552024692[[#This Row],[Persons 2011]],"..")</f>
        <v>..</v>
      </c>
      <c r="I38" s="1250"/>
      <c r="J38" s="1250"/>
    </row>
    <row r="39" spans="2:10">
      <c r="B39" s="655" t="s">
        <v>77</v>
      </c>
      <c r="C39" s="287">
        <v>0</v>
      </c>
      <c r="D39" s="287">
        <v>0</v>
      </c>
      <c r="E39" s="287">
        <v>4</v>
      </c>
      <c r="F39" s="288">
        <f>IFERROR((Table552024692[[#This Row],[Persons 2016]]/$C$17),"..")</f>
        <v>2.8985507246376812E-2</v>
      </c>
      <c r="G39" s="908" t="s">
        <v>94</v>
      </c>
      <c r="H39" s="288" t="str">
        <f>IFERROR((Table552024692[[#This Row],[Persons 2016]]-Table552024692[[#This Row],[Persons 2011]])/Table552024692[[#This Row],[Persons 2011]],"..")</f>
        <v>..</v>
      </c>
      <c r="I39" s="1241"/>
      <c r="J39" s="1241"/>
    </row>
    <row r="40" spans="2:10">
      <c r="B40" s="655" t="s">
        <v>130</v>
      </c>
      <c r="C40" s="287">
        <v>0</v>
      </c>
      <c r="D40" s="287">
        <v>3</v>
      </c>
      <c r="E40" s="287">
        <v>3</v>
      </c>
      <c r="F40" s="288">
        <f>IFERROR((Table552024692[[#This Row],[Persons 2016]]/$C$17),"..")</f>
        <v>2.1739130434782608E-2</v>
      </c>
      <c r="G40" s="908" t="s">
        <v>94</v>
      </c>
      <c r="H40" s="288" t="str">
        <f>IFERROR((Table552024692[[#This Row],[Persons 2016]]-Table552024692[[#This Row],[Persons 2011]])/Table552024692[[#This Row],[Persons 2011]],"..")</f>
        <v>..</v>
      </c>
      <c r="I40" s="1241"/>
      <c r="J40" s="1241"/>
    </row>
    <row r="41" spans="2:10">
      <c r="B41" s="655" t="s">
        <v>369</v>
      </c>
      <c r="C41" s="287">
        <f>C42-SUM(C31:C40)</f>
        <v>30</v>
      </c>
      <c r="D41" s="287">
        <f t="shared" ref="D41:E41" si="1">D42-SUM(D31:D40)</f>
        <v>19</v>
      </c>
      <c r="E41" s="287">
        <f t="shared" si="1"/>
        <v>30</v>
      </c>
      <c r="F41" s="289">
        <f>IFERROR((Table552024692[[#This Row],[Persons 2016]]/$C$17),"..")</f>
        <v>0.21739130434782608</v>
      </c>
      <c r="G41" s="657" t="s">
        <v>94</v>
      </c>
      <c r="H41" s="289" t="str">
        <f>IFERROR((Table552024692[[#This Row],[Persons 2016]]-Table552024692[[#This Row],[Persons 2011]])/Table552024692[[#This Row],[Persons 2011]],"..")</f>
        <v>..</v>
      </c>
      <c r="I41" s="1241"/>
      <c r="J41" s="1241"/>
    </row>
    <row r="42" spans="2:10">
      <c r="B42" s="909" t="s">
        <v>21</v>
      </c>
      <c r="C42" s="910">
        <v>74</v>
      </c>
      <c r="D42" s="910">
        <v>67</v>
      </c>
      <c r="E42" s="290">
        <f>C17</f>
        <v>138</v>
      </c>
      <c r="F42" s="291">
        <f>IFERROR((Table552024692[[#This Row],[Persons 2016]]/$C$17),"..")</f>
        <v>1</v>
      </c>
      <c r="G42" s="135">
        <f>E17</f>
        <v>13</v>
      </c>
      <c r="H42" s="136">
        <f>IFERROR((Table552024692[[#This Row],[Persons 2016]]-Table552024692[[#This Row],[Persons 2011]])/Table552024692[[#This Row],[Persons 2011]],"..")</f>
        <v>9.615384615384615</v>
      </c>
      <c r="I42" s="1242"/>
      <c r="J42" s="1242"/>
    </row>
    <row r="43" spans="2:10" s="329" customFormat="1">
      <c r="B43" s="349" t="s">
        <v>366</v>
      </c>
    </row>
    <row r="45" spans="2:10" ht="23.25">
      <c r="B45" s="127" t="s">
        <v>699</v>
      </c>
    </row>
    <row r="46" spans="2:10" ht="15.75">
      <c r="B46" s="138" t="s">
        <v>832</v>
      </c>
    </row>
    <row r="47" spans="2:10">
      <c r="B47" s="149" t="s">
        <v>871</v>
      </c>
    </row>
    <row r="48" spans="2:10">
      <c r="B48" s="266" t="s">
        <v>14</v>
      </c>
      <c r="C48" s="139" t="s">
        <v>23</v>
      </c>
      <c r="D48" s="139" t="s">
        <v>24</v>
      </c>
      <c r="E48" s="139" t="s">
        <v>25</v>
      </c>
      <c r="F48" s="139" t="s">
        <v>26</v>
      </c>
      <c r="G48" s="139" t="s">
        <v>27</v>
      </c>
      <c r="H48" s="267" t="s">
        <v>28</v>
      </c>
    </row>
    <row r="49" spans="2:8">
      <c r="B49" s="292" t="s">
        <v>73</v>
      </c>
      <c r="C49" s="155">
        <v>11</v>
      </c>
      <c r="D49" s="155">
        <v>0</v>
      </c>
      <c r="E49" s="155">
        <v>14</v>
      </c>
      <c r="F49" s="668">
        <v>19</v>
      </c>
      <c r="G49" s="155">
        <v>0</v>
      </c>
      <c r="H49" s="911">
        <v>38</v>
      </c>
    </row>
    <row r="50" spans="2:8">
      <c r="B50" s="912" t="s">
        <v>92</v>
      </c>
      <c r="C50" s="158">
        <v>4</v>
      </c>
      <c r="D50" s="158">
        <v>3</v>
      </c>
      <c r="E50" s="158">
        <v>6</v>
      </c>
      <c r="F50" s="671">
        <v>6</v>
      </c>
      <c r="G50" s="158">
        <v>3</v>
      </c>
      <c r="H50" s="913">
        <v>29</v>
      </c>
    </row>
    <row r="51" spans="2:8">
      <c r="B51" s="914" t="s">
        <v>75</v>
      </c>
      <c r="C51" s="155">
        <v>0</v>
      </c>
      <c r="D51" s="155">
        <v>0</v>
      </c>
      <c r="E51" s="155">
        <v>9</v>
      </c>
      <c r="F51" s="668">
        <v>0</v>
      </c>
      <c r="G51" s="155">
        <v>0</v>
      </c>
      <c r="H51" s="915">
        <v>8</v>
      </c>
    </row>
    <row r="52" spans="2:8">
      <c r="B52" s="294" t="s">
        <v>74</v>
      </c>
      <c r="C52" s="158">
        <v>0</v>
      </c>
      <c r="D52" s="158">
        <v>0</v>
      </c>
      <c r="E52" s="158">
        <v>8</v>
      </c>
      <c r="F52" s="671">
        <v>0</v>
      </c>
      <c r="G52" s="158">
        <v>0</v>
      </c>
      <c r="H52" s="913">
        <v>7</v>
      </c>
    </row>
    <row r="53" spans="2:8">
      <c r="B53" s="292" t="s">
        <v>79</v>
      </c>
      <c r="C53" s="155">
        <v>0</v>
      </c>
      <c r="D53" s="155">
        <v>0</v>
      </c>
      <c r="E53" s="155">
        <v>0</v>
      </c>
      <c r="F53" s="668">
        <v>6</v>
      </c>
      <c r="G53" s="155">
        <v>0</v>
      </c>
      <c r="H53" s="915">
        <v>6</v>
      </c>
    </row>
    <row r="54" spans="2:8">
      <c r="B54" s="912" t="s">
        <v>80</v>
      </c>
      <c r="C54" s="158">
        <v>0</v>
      </c>
      <c r="D54" s="158">
        <v>0</v>
      </c>
      <c r="E54" s="158">
        <v>5</v>
      </c>
      <c r="F54" s="671">
        <v>0</v>
      </c>
      <c r="G54" s="158">
        <v>0</v>
      </c>
      <c r="H54" s="913">
        <v>5</v>
      </c>
    </row>
    <row r="55" spans="2:8">
      <c r="B55" s="292" t="s">
        <v>129</v>
      </c>
      <c r="C55" s="155">
        <v>0</v>
      </c>
      <c r="D55" s="155">
        <v>0</v>
      </c>
      <c r="E55" s="155">
        <v>0</v>
      </c>
      <c r="F55" s="668">
        <v>4</v>
      </c>
      <c r="G55" s="155">
        <v>0</v>
      </c>
      <c r="H55" s="915">
        <v>4</v>
      </c>
    </row>
    <row r="56" spans="2:8">
      <c r="B56" s="912" t="s">
        <v>133</v>
      </c>
      <c r="C56" s="158">
        <v>0</v>
      </c>
      <c r="D56" s="158">
        <v>0</v>
      </c>
      <c r="E56" s="158">
        <v>4</v>
      </c>
      <c r="F56" s="671">
        <v>0</v>
      </c>
      <c r="G56" s="158">
        <v>0</v>
      </c>
      <c r="H56" s="913">
        <v>4</v>
      </c>
    </row>
    <row r="57" spans="2:8">
      <c r="B57" s="292" t="s">
        <v>77</v>
      </c>
      <c r="C57" s="155">
        <v>0</v>
      </c>
      <c r="D57" s="155">
        <v>0</v>
      </c>
      <c r="E57" s="155">
        <v>0</v>
      </c>
      <c r="F57" s="668">
        <v>0</v>
      </c>
      <c r="G57" s="155">
        <v>0</v>
      </c>
      <c r="H57" s="915">
        <v>4</v>
      </c>
    </row>
    <row r="58" spans="2:8">
      <c r="B58" s="294" t="s">
        <v>130</v>
      </c>
      <c r="C58" s="158">
        <v>0</v>
      </c>
      <c r="D58" s="158">
        <v>0</v>
      </c>
      <c r="E58" s="158">
        <v>0</v>
      </c>
      <c r="F58" s="671">
        <v>4</v>
      </c>
      <c r="G58" s="158">
        <v>0</v>
      </c>
      <c r="H58" s="913">
        <v>3</v>
      </c>
    </row>
    <row r="59" spans="2:8">
      <c r="B59" s="297" t="s">
        <v>29</v>
      </c>
      <c r="C59" s="141">
        <v>2553</v>
      </c>
      <c r="D59" s="141">
        <v>1774</v>
      </c>
      <c r="E59" s="141">
        <v>2730</v>
      </c>
      <c r="F59" s="141">
        <v>1408</v>
      </c>
      <c r="G59" s="141">
        <v>242</v>
      </c>
      <c r="H59" s="278">
        <v>8712</v>
      </c>
    </row>
    <row r="60" spans="2:8">
      <c r="B60" s="298" t="s">
        <v>30</v>
      </c>
      <c r="C60" s="142">
        <v>12</v>
      </c>
      <c r="D60" s="142">
        <v>5</v>
      </c>
      <c r="E60" s="142">
        <v>29</v>
      </c>
      <c r="F60" s="142">
        <v>29</v>
      </c>
      <c r="G60" s="679">
        <v>4</v>
      </c>
      <c r="H60" s="280">
        <v>79</v>
      </c>
    </row>
    <row r="61" spans="2:8">
      <c r="B61" s="299" t="s">
        <v>31</v>
      </c>
      <c r="C61" s="282">
        <v>0</v>
      </c>
      <c r="D61" s="282">
        <v>0</v>
      </c>
      <c r="E61" s="282">
        <v>29</v>
      </c>
      <c r="F61" s="282">
        <v>29</v>
      </c>
      <c r="G61" s="282">
        <v>0</v>
      </c>
      <c r="H61" s="283">
        <v>62</v>
      </c>
    </row>
    <row r="63" spans="2:8" ht="23.25">
      <c r="B63" s="127" t="s">
        <v>700</v>
      </c>
    </row>
    <row r="64" spans="2:8" ht="15.75">
      <c r="B64" s="138" t="s">
        <v>833</v>
      </c>
    </row>
    <row r="65" spans="2:8">
      <c r="B65" s="149" t="s">
        <v>843</v>
      </c>
    </row>
    <row r="66" spans="2:8">
      <c r="B66" s="266" t="s">
        <v>14</v>
      </c>
      <c r="C66" s="144" t="s">
        <v>23</v>
      </c>
      <c r="D66" s="144" t="s">
        <v>24</v>
      </c>
      <c r="E66" s="144" t="s">
        <v>25</v>
      </c>
      <c r="F66" s="144" t="s">
        <v>26</v>
      </c>
      <c r="G66" s="144" t="s">
        <v>27</v>
      </c>
      <c r="H66" s="421" t="s">
        <v>28</v>
      </c>
    </row>
    <row r="67" spans="2:8">
      <c r="B67" s="292" t="str">
        <f t="shared" ref="B67:B76" si="2">B49</f>
        <v>New Zealand</v>
      </c>
      <c r="C67" s="64">
        <f t="shared" ref="C67:C79" si="3">SUM(C49/H49)</f>
        <v>0.28947368421052633</v>
      </c>
      <c r="D67" s="64">
        <f t="shared" ref="D67:D79" si="4">SUM(D49/H49)</f>
        <v>0</v>
      </c>
      <c r="E67" s="64">
        <f t="shared" ref="E67:E79" si="5">SUM(E49/H49)</f>
        <v>0.36842105263157893</v>
      </c>
      <c r="F67" s="64">
        <f t="shared" ref="F67:F79" si="6">SUM(F49/H49)</f>
        <v>0.5</v>
      </c>
      <c r="G67" s="64">
        <f t="shared" ref="G67:G79" si="7">SUM(G49/H49)</f>
        <v>0</v>
      </c>
      <c r="H67" s="293">
        <f t="shared" ref="H67:H79" si="8">H49</f>
        <v>38</v>
      </c>
    </row>
    <row r="68" spans="2:8">
      <c r="B68" s="294" t="str">
        <f t="shared" si="2"/>
        <v>England</v>
      </c>
      <c r="C68" s="54">
        <f t="shared" si="3"/>
        <v>0.13793103448275862</v>
      </c>
      <c r="D68" s="54">
        <f t="shared" si="4"/>
        <v>0.10344827586206896</v>
      </c>
      <c r="E68" s="54">
        <f t="shared" si="5"/>
        <v>0.20689655172413793</v>
      </c>
      <c r="F68" s="54">
        <f t="shared" si="6"/>
        <v>0.20689655172413793</v>
      </c>
      <c r="G68" s="54">
        <f t="shared" si="7"/>
        <v>0.10344827586206896</v>
      </c>
      <c r="H68" s="295">
        <f t="shared" si="8"/>
        <v>29</v>
      </c>
    </row>
    <row r="69" spans="2:8">
      <c r="B69" s="292" t="str">
        <f t="shared" si="2"/>
        <v>India</v>
      </c>
      <c r="C69" s="64">
        <f t="shared" si="3"/>
        <v>0</v>
      </c>
      <c r="D69" s="64">
        <f t="shared" si="4"/>
        <v>0</v>
      </c>
      <c r="E69" s="64">
        <f t="shared" si="5"/>
        <v>1.125</v>
      </c>
      <c r="F69" s="64">
        <f t="shared" si="6"/>
        <v>0</v>
      </c>
      <c r="G69" s="64">
        <f t="shared" si="7"/>
        <v>0</v>
      </c>
      <c r="H69" s="296">
        <f t="shared" si="8"/>
        <v>8</v>
      </c>
    </row>
    <row r="70" spans="2:8">
      <c r="B70" s="294" t="str">
        <f t="shared" si="2"/>
        <v>United States of America</v>
      </c>
      <c r="C70" s="54">
        <f t="shared" si="3"/>
        <v>0</v>
      </c>
      <c r="D70" s="54">
        <f t="shared" si="4"/>
        <v>0</v>
      </c>
      <c r="E70" s="54">
        <f t="shared" si="5"/>
        <v>1.1428571428571428</v>
      </c>
      <c r="F70" s="54">
        <f t="shared" si="6"/>
        <v>0</v>
      </c>
      <c r="G70" s="54">
        <f t="shared" si="7"/>
        <v>0</v>
      </c>
      <c r="H70" s="295">
        <f t="shared" si="8"/>
        <v>7</v>
      </c>
    </row>
    <row r="71" spans="2:8">
      <c r="B71" s="292" t="str">
        <f t="shared" si="2"/>
        <v>Germany</v>
      </c>
      <c r="C71" s="64">
        <f t="shared" si="3"/>
        <v>0</v>
      </c>
      <c r="D71" s="64">
        <f t="shared" si="4"/>
        <v>0</v>
      </c>
      <c r="E71" s="64">
        <f t="shared" si="5"/>
        <v>0</v>
      </c>
      <c r="F71" s="64">
        <f t="shared" si="6"/>
        <v>1</v>
      </c>
      <c r="G71" s="64">
        <f t="shared" si="7"/>
        <v>0</v>
      </c>
      <c r="H71" s="296">
        <f t="shared" si="8"/>
        <v>6</v>
      </c>
    </row>
    <row r="72" spans="2:8">
      <c r="B72" s="294" t="str">
        <f t="shared" si="2"/>
        <v>Sri Lanka</v>
      </c>
      <c r="C72" s="54">
        <f t="shared" si="3"/>
        <v>0</v>
      </c>
      <c r="D72" s="54">
        <f t="shared" si="4"/>
        <v>0</v>
      </c>
      <c r="E72" s="54">
        <f t="shared" si="5"/>
        <v>1</v>
      </c>
      <c r="F72" s="54">
        <f t="shared" si="6"/>
        <v>0</v>
      </c>
      <c r="G72" s="54">
        <f t="shared" si="7"/>
        <v>0</v>
      </c>
      <c r="H72" s="295">
        <f t="shared" si="8"/>
        <v>5</v>
      </c>
    </row>
    <row r="73" spans="2:8">
      <c r="B73" s="292" t="str">
        <f t="shared" si="2"/>
        <v>France</v>
      </c>
      <c r="C73" s="64">
        <f t="shared" si="3"/>
        <v>0</v>
      </c>
      <c r="D73" s="64">
        <f t="shared" si="4"/>
        <v>0</v>
      </c>
      <c r="E73" s="64">
        <f t="shared" si="5"/>
        <v>0</v>
      </c>
      <c r="F73" s="64">
        <f t="shared" si="6"/>
        <v>1</v>
      </c>
      <c r="G73" s="64">
        <f t="shared" si="7"/>
        <v>0</v>
      </c>
      <c r="H73" s="296">
        <f t="shared" si="8"/>
        <v>4</v>
      </c>
    </row>
    <row r="74" spans="2:8">
      <c r="B74" s="294" t="str">
        <f t="shared" si="2"/>
        <v>Switzerland</v>
      </c>
      <c r="C74" s="54">
        <f t="shared" si="3"/>
        <v>0</v>
      </c>
      <c r="D74" s="54">
        <f t="shared" si="4"/>
        <v>0</v>
      </c>
      <c r="E74" s="54">
        <f t="shared" si="5"/>
        <v>1</v>
      </c>
      <c r="F74" s="54">
        <f t="shared" si="6"/>
        <v>0</v>
      </c>
      <c r="G74" s="54">
        <f t="shared" si="7"/>
        <v>0</v>
      </c>
      <c r="H74" s="295">
        <f t="shared" si="8"/>
        <v>4</v>
      </c>
    </row>
    <row r="75" spans="2:8">
      <c r="B75" s="292" t="str">
        <f t="shared" si="2"/>
        <v>Zimbabwe</v>
      </c>
      <c r="C75" s="64">
        <f t="shared" si="3"/>
        <v>0</v>
      </c>
      <c r="D75" s="64">
        <f t="shared" si="4"/>
        <v>0</v>
      </c>
      <c r="E75" s="64">
        <f t="shared" si="5"/>
        <v>0</v>
      </c>
      <c r="F75" s="64">
        <f t="shared" si="6"/>
        <v>0</v>
      </c>
      <c r="G75" s="64">
        <f t="shared" si="7"/>
        <v>0</v>
      </c>
      <c r="H75" s="296">
        <f t="shared" si="8"/>
        <v>4</v>
      </c>
    </row>
    <row r="76" spans="2:8">
      <c r="B76" s="294" t="str">
        <f t="shared" si="2"/>
        <v>Papua New Guinea</v>
      </c>
      <c r="C76" s="54">
        <f t="shared" si="3"/>
        <v>0</v>
      </c>
      <c r="D76" s="54">
        <f t="shared" si="4"/>
        <v>0</v>
      </c>
      <c r="E76" s="54">
        <f t="shared" si="5"/>
        <v>0</v>
      </c>
      <c r="F76" s="54">
        <f t="shared" si="6"/>
        <v>1.3333333333333333</v>
      </c>
      <c r="G76" s="54">
        <f t="shared" si="7"/>
        <v>0</v>
      </c>
      <c r="H76" s="295">
        <f t="shared" si="8"/>
        <v>3</v>
      </c>
    </row>
    <row r="77" spans="2:8">
      <c r="B77" s="297" t="s">
        <v>29</v>
      </c>
      <c r="C77" s="70">
        <f t="shared" si="3"/>
        <v>0.2930440771349862</v>
      </c>
      <c r="D77" s="70">
        <f t="shared" si="4"/>
        <v>0.20362718089990817</v>
      </c>
      <c r="E77" s="70">
        <f t="shared" si="5"/>
        <v>0.3133608815426997</v>
      </c>
      <c r="F77" s="70">
        <f t="shared" si="6"/>
        <v>0.16161616161616163</v>
      </c>
      <c r="G77" s="70">
        <f t="shared" si="7"/>
        <v>2.7777777777777776E-2</v>
      </c>
      <c r="H77" s="278">
        <f t="shared" si="8"/>
        <v>8712</v>
      </c>
    </row>
    <row r="78" spans="2:8">
      <c r="B78" s="298" t="s">
        <v>30</v>
      </c>
      <c r="C78" s="73">
        <f t="shared" si="3"/>
        <v>0.15189873417721519</v>
      </c>
      <c r="D78" s="73">
        <f t="shared" si="4"/>
        <v>6.3291139240506333E-2</v>
      </c>
      <c r="E78" s="73">
        <f t="shared" si="5"/>
        <v>0.36708860759493672</v>
      </c>
      <c r="F78" s="73">
        <f t="shared" si="6"/>
        <v>0.36708860759493672</v>
      </c>
      <c r="G78" s="73">
        <f t="shared" si="7"/>
        <v>5.0632911392405063E-2</v>
      </c>
      <c r="H78" s="280">
        <f t="shared" si="8"/>
        <v>79</v>
      </c>
    </row>
    <row r="79" spans="2:8">
      <c r="B79" s="299" t="s">
        <v>31</v>
      </c>
      <c r="C79" s="300">
        <f t="shared" si="3"/>
        <v>0</v>
      </c>
      <c r="D79" s="300">
        <f t="shared" si="4"/>
        <v>0</v>
      </c>
      <c r="E79" s="300">
        <f t="shared" si="5"/>
        <v>0.46774193548387094</v>
      </c>
      <c r="F79" s="300">
        <f t="shared" si="6"/>
        <v>0.46774193548387094</v>
      </c>
      <c r="G79" s="300">
        <f t="shared" si="7"/>
        <v>0</v>
      </c>
      <c r="H79" s="283">
        <f t="shared" si="8"/>
        <v>62</v>
      </c>
    </row>
    <row r="81" spans="2:8" ht="23.25">
      <c r="B81" s="127" t="s">
        <v>701</v>
      </c>
    </row>
    <row r="82" spans="2:8" ht="15.75">
      <c r="B82" s="150" t="s">
        <v>844</v>
      </c>
    </row>
    <row r="83" spans="2:8">
      <c r="B83" s="149" t="s">
        <v>887</v>
      </c>
    </row>
    <row r="84" spans="2:8">
      <c r="B84" s="151" t="s">
        <v>14</v>
      </c>
      <c r="C84" s="526" t="s">
        <v>32</v>
      </c>
      <c r="D84" s="526" t="s">
        <v>33</v>
      </c>
      <c r="E84" s="526" t="s">
        <v>34</v>
      </c>
      <c r="F84" s="526" t="s">
        <v>35</v>
      </c>
      <c r="G84" s="526">
        <v>2016</v>
      </c>
      <c r="H84" s="544" t="s">
        <v>28</v>
      </c>
    </row>
    <row r="85" spans="2:8" ht="10.5" customHeight="1">
      <c r="B85" s="154" t="s">
        <v>73</v>
      </c>
      <c r="C85" s="155">
        <v>6</v>
      </c>
      <c r="D85" s="155">
        <v>3</v>
      </c>
      <c r="E85" s="155">
        <v>6</v>
      </c>
      <c r="F85" s="156">
        <v>17</v>
      </c>
      <c r="G85" s="155">
        <v>3</v>
      </c>
      <c r="H85" s="157">
        <v>38</v>
      </c>
    </row>
    <row r="86" spans="2:8">
      <c r="B86" s="66" t="s">
        <v>92</v>
      </c>
      <c r="C86" s="158">
        <v>11</v>
      </c>
      <c r="D86" s="158">
        <v>0</v>
      </c>
      <c r="E86" s="158">
        <v>0</v>
      </c>
      <c r="F86" s="159">
        <v>10</v>
      </c>
      <c r="G86" s="158">
        <v>4</v>
      </c>
      <c r="H86" s="160">
        <v>29</v>
      </c>
    </row>
    <row r="87" spans="2:8">
      <c r="B87" s="63" t="s">
        <v>75</v>
      </c>
      <c r="C87" s="155">
        <v>0</v>
      </c>
      <c r="D87" s="155">
        <v>0</v>
      </c>
      <c r="E87" s="155">
        <v>0</v>
      </c>
      <c r="F87" s="156">
        <v>4</v>
      </c>
      <c r="G87" s="155">
        <v>0</v>
      </c>
      <c r="H87" s="161">
        <v>8</v>
      </c>
    </row>
    <row r="88" spans="2:8">
      <c r="B88" s="162" t="s">
        <v>74</v>
      </c>
      <c r="C88" s="158">
        <v>0</v>
      </c>
      <c r="D88" s="158">
        <v>0</v>
      </c>
      <c r="E88" s="158">
        <v>0</v>
      </c>
      <c r="F88" s="159">
        <v>3</v>
      </c>
      <c r="G88" s="158">
        <v>0</v>
      </c>
      <c r="H88" s="160">
        <v>7</v>
      </c>
    </row>
    <row r="89" spans="2:8">
      <c r="B89" s="154" t="s">
        <v>79</v>
      </c>
      <c r="C89" s="155">
        <v>0</v>
      </c>
      <c r="D89" s="155">
        <v>0</v>
      </c>
      <c r="E89" s="155">
        <v>0</v>
      </c>
      <c r="F89" s="156">
        <v>0</v>
      </c>
      <c r="G89" s="155">
        <v>0</v>
      </c>
      <c r="H89" s="161">
        <v>6</v>
      </c>
    </row>
    <row r="90" spans="2:8">
      <c r="B90" s="66" t="s">
        <v>80</v>
      </c>
      <c r="C90" s="158">
        <v>0</v>
      </c>
      <c r="D90" s="158">
        <v>0</v>
      </c>
      <c r="E90" s="158">
        <v>0</v>
      </c>
      <c r="F90" s="159">
        <v>5</v>
      </c>
      <c r="G90" s="158">
        <v>0</v>
      </c>
      <c r="H90" s="160">
        <v>5</v>
      </c>
    </row>
    <row r="91" spans="2:8">
      <c r="B91" s="63" t="s">
        <v>129</v>
      </c>
      <c r="C91" s="155">
        <v>0</v>
      </c>
      <c r="D91" s="155">
        <v>4</v>
      </c>
      <c r="E91" s="155">
        <v>0</v>
      </c>
      <c r="F91" s="156">
        <v>0</v>
      </c>
      <c r="G91" s="155">
        <v>0</v>
      </c>
      <c r="H91" s="161">
        <v>4</v>
      </c>
    </row>
    <row r="92" spans="2:8">
      <c r="B92" s="162" t="s">
        <v>133</v>
      </c>
      <c r="C92" s="158">
        <v>0</v>
      </c>
      <c r="D92" s="158">
        <v>0</v>
      </c>
      <c r="E92" s="158">
        <v>0</v>
      </c>
      <c r="F92" s="159">
        <v>4</v>
      </c>
      <c r="G92" s="158">
        <v>0</v>
      </c>
      <c r="H92" s="160">
        <v>4</v>
      </c>
    </row>
    <row r="93" spans="2:8">
      <c r="B93" s="63" t="s">
        <v>77</v>
      </c>
      <c r="C93" s="155">
        <v>0</v>
      </c>
      <c r="D93" s="155">
        <v>0</v>
      </c>
      <c r="E93" s="155">
        <v>0</v>
      </c>
      <c r="F93" s="156">
        <v>4</v>
      </c>
      <c r="G93" s="155">
        <v>0</v>
      </c>
      <c r="H93" s="161">
        <v>4</v>
      </c>
    </row>
    <row r="94" spans="2:8">
      <c r="B94" s="162" t="s">
        <v>130</v>
      </c>
      <c r="C94" s="158">
        <v>0</v>
      </c>
      <c r="D94" s="158">
        <v>0</v>
      </c>
      <c r="E94" s="158">
        <v>0</v>
      </c>
      <c r="F94" s="159">
        <v>0</v>
      </c>
      <c r="G94" s="158">
        <v>0</v>
      </c>
      <c r="H94" s="160">
        <v>3</v>
      </c>
    </row>
    <row r="95" spans="2:8">
      <c r="B95" s="163" t="s">
        <v>30</v>
      </c>
      <c r="C95" s="163">
        <v>19</v>
      </c>
      <c r="D95" s="163">
        <v>3</v>
      </c>
      <c r="E95" s="163">
        <v>9</v>
      </c>
      <c r="F95" s="163">
        <v>36</v>
      </c>
      <c r="G95" s="164">
        <v>8</v>
      </c>
      <c r="H95" s="165">
        <f>C19</f>
        <v>79</v>
      </c>
    </row>
    <row r="96" spans="2:8">
      <c r="B96" s="166" t="s">
        <v>31</v>
      </c>
      <c r="C96" s="166">
        <v>15</v>
      </c>
      <c r="D96" s="166">
        <v>10</v>
      </c>
      <c r="E96" s="166">
        <v>12</v>
      </c>
      <c r="F96" s="166">
        <v>21</v>
      </c>
      <c r="G96" s="167">
        <v>0</v>
      </c>
      <c r="H96" s="168">
        <f>C20</f>
        <v>62</v>
      </c>
    </row>
    <row r="97" spans="2:20" ht="23.25">
      <c r="B97" s="127"/>
    </row>
    <row r="98" spans="2:20" ht="23.25">
      <c r="B98" s="127" t="s">
        <v>702</v>
      </c>
    </row>
    <row r="99" spans="2:20" ht="15.75">
      <c r="B99" s="150" t="s">
        <v>846</v>
      </c>
    </row>
    <row r="100" spans="2:20">
      <c r="B100" s="149" t="s">
        <v>845</v>
      </c>
      <c r="J100" s="169"/>
      <c r="K100" s="170"/>
      <c r="L100" s="170"/>
      <c r="M100" s="170"/>
      <c r="N100" s="170"/>
    </row>
    <row r="101" spans="2:20">
      <c r="B101" s="151" t="s">
        <v>14</v>
      </c>
      <c r="C101" s="526" t="s">
        <v>32</v>
      </c>
      <c r="D101" s="526" t="s">
        <v>33</v>
      </c>
      <c r="E101" s="526" t="s">
        <v>34</v>
      </c>
      <c r="F101" s="526" t="s">
        <v>35</v>
      </c>
      <c r="G101" s="526">
        <v>2016</v>
      </c>
      <c r="H101" s="544" t="s">
        <v>28</v>
      </c>
      <c r="J101" s="169"/>
      <c r="K101" s="170"/>
      <c r="L101" s="170"/>
      <c r="M101" s="170"/>
      <c r="N101" s="170"/>
    </row>
    <row r="102" spans="2:20">
      <c r="B102" s="63" t="str">
        <f t="shared" ref="B102:B111" si="9">B85</f>
        <v>New Zealand</v>
      </c>
      <c r="C102" s="64">
        <f t="shared" ref="C102:C113" si="10">IFERROR(C85/H85,"-")</f>
        <v>0.15789473684210525</v>
      </c>
      <c r="D102" s="64">
        <f t="shared" ref="D102:D113" si="11">IFERROR(D85/H85,"-")</f>
        <v>7.8947368421052627E-2</v>
      </c>
      <c r="E102" s="64">
        <f t="shared" ref="E102:E113" si="12">IFERROR(E85/H85,"-")</f>
        <v>0.15789473684210525</v>
      </c>
      <c r="F102" s="64">
        <f t="shared" ref="F102:F113" si="13">IFERROR(F85/H85,"-")</f>
        <v>0.44736842105263158</v>
      </c>
      <c r="G102" s="64">
        <f t="shared" ref="G102:G113" si="14">IFERROR(G85/H85,"-")</f>
        <v>7.8947368421052627E-2</v>
      </c>
      <c r="H102" s="78">
        <f t="shared" ref="H102:H113" si="15">H85</f>
        <v>38</v>
      </c>
      <c r="J102" s="169"/>
      <c r="K102" s="170"/>
      <c r="L102" s="170"/>
      <c r="M102" s="170"/>
      <c r="N102" s="170"/>
    </row>
    <row r="103" spans="2:20">
      <c r="B103" s="66" t="str">
        <f t="shared" si="9"/>
        <v>England</v>
      </c>
      <c r="C103" s="54">
        <f t="shared" si="10"/>
        <v>0.37931034482758619</v>
      </c>
      <c r="D103" s="54">
        <f t="shared" si="11"/>
        <v>0</v>
      </c>
      <c r="E103" s="54">
        <f t="shared" si="12"/>
        <v>0</v>
      </c>
      <c r="F103" s="54">
        <f t="shared" si="13"/>
        <v>0.34482758620689657</v>
      </c>
      <c r="G103" s="54">
        <f t="shared" si="14"/>
        <v>0.13793103448275862</v>
      </c>
      <c r="H103" s="79">
        <f t="shared" si="15"/>
        <v>29</v>
      </c>
      <c r="J103" s="169"/>
      <c r="K103" s="170"/>
      <c r="L103" s="170"/>
      <c r="M103" s="170"/>
      <c r="N103" s="170"/>
    </row>
    <row r="104" spans="2:20">
      <c r="B104" s="63" t="str">
        <f t="shared" si="9"/>
        <v>India</v>
      </c>
      <c r="C104" s="64">
        <f t="shared" si="10"/>
        <v>0</v>
      </c>
      <c r="D104" s="64">
        <f t="shared" si="11"/>
        <v>0</v>
      </c>
      <c r="E104" s="64">
        <f t="shared" si="12"/>
        <v>0</v>
      </c>
      <c r="F104" s="64">
        <f t="shared" si="13"/>
        <v>0.5</v>
      </c>
      <c r="G104" s="64">
        <f t="shared" si="14"/>
        <v>0</v>
      </c>
      <c r="H104" s="80">
        <f t="shared" si="15"/>
        <v>8</v>
      </c>
      <c r="J104" s="169"/>
      <c r="K104" s="170"/>
      <c r="L104" s="170"/>
      <c r="M104" s="170"/>
      <c r="N104" s="170"/>
    </row>
    <row r="105" spans="2:20">
      <c r="B105" s="66" t="str">
        <f t="shared" si="9"/>
        <v>United States of America</v>
      </c>
      <c r="C105" s="54">
        <f t="shared" si="10"/>
        <v>0</v>
      </c>
      <c r="D105" s="54">
        <f t="shared" si="11"/>
        <v>0</v>
      </c>
      <c r="E105" s="54">
        <f t="shared" si="12"/>
        <v>0</v>
      </c>
      <c r="F105" s="54">
        <f t="shared" si="13"/>
        <v>0.42857142857142855</v>
      </c>
      <c r="G105" s="54">
        <f t="shared" si="14"/>
        <v>0</v>
      </c>
      <c r="H105" s="79">
        <f t="shared" si="15"/>
        <v>7</v>
      </c>
      <c r="J105" s="169"/>
      <c r="K105" s="170"/>
      <c r="L105" s="170"/>
      <c r="M105" s="170"/>
      <c r="N105" s="170"/>
    </row>
    <row r="106" spans="2:20">
      <c r="B106" s="63" t="str">
        <f t="shared" si="9"/>
        <v>Germany</v>
      </c>
      <c r="C106" s="64">
        <f t="shared" si="10"/>
        <v>0</v>
      </c>
      <c r="D106" s="64">
        <f t="shared" si="11"/>
        <v>0</v>
      </c>
      <c r="E106" s="64">
        <f t="shared" si="12"/>
        <v>0</v>
      </c>
      <c r="F106" s="64">
        <f t="shared" si="13"/>
        <v>0</v>
      </c>
      <c r="G106" s="64">
        <f t="shared" si="14"/>
        <v>0</v>
      </c>
      <c r="H106" s="80">
        <f t="shared" si="15"/>
        <v>6</v>
      </c>
      <c r="J106" s="169"/>
      <c r="K106" s="170"/>
      <c r="L106" s="170"/>
      <c r="M106" s="170"/>
      <c r="N106" s="170"/>
    </row>
    <row r="107" spans="2:20">
      <c r="B107" s="66" t="str">
        <f t="shared" si="9"/>
        <v>Sri Lanka</v>
      </c>
      <c r="C107" s="54">
        <f t="shared" si="10"/>
        <v>0</v>
      </c>
      <c r="D107" s="54">
        <f t="shared" si="11"/>
        <v>0</v>
      </c>
      <c r="E107" s="54">
        <f t="shared" si="12"/>
        <v>0</v>
      </c>
      <c r="F107" s="54">
        <f t="shared" si="13"/>
        <v>1</v>
      </c>
      <c r="G107" s="54">
        <f t="shared" si="14"/>
        <v>0</v>
      </c>
      <c r="H107" s="79">
        <f t="shared" si="15"/>
        <v>5</v>
      </c>
      <c r="J107" s="169"/>
      <c r="K107" s="170"/>
      <c r="L107" s="170"/>
      <c r="M107" s="170"/>
      <c r="N107" s="170"/>
    </row>
    <row r="108" spans="2:20">
      <c r="B108" s="63" t="str">
        <f t="shared" si="9"/>
        <v>France</v>
      </c>
      <c r="C108" s="64">
        <f t="shared" si="10"/>
        <v>0</v>
      </c>
      <c r="D108" s="64">
        <f t="shared" si="11"/>
        <v>1</v>
      </c>
      <c r="E108" s="64">
        <f t="shared" si="12"/>
        <v>0</v>
      </c>
      <c r="F108" s="64">
        <f t="shared" si="13"/>
        <v>0</v>
      </c>
      <c r="G108" s="64">
        <f t="shared" si="14"/>
        <v>0</v>
      </c>
      <c r="H108" s="80">
        <f t="shared" si="15"/>
        <v>4</v>
      </c>
      <c r="O108" s="170"/>
      <c r="P108" s="170"/>
      <c r="Q108" s="170"/>
      <c r="R108" s="170"/>
      <c r="S108" s="170"/>
      <c r="T108" s="170"/>
    </row>
    <row r="109" spans="2:20">
      <c r="B109" s="66" t="str">
        <f t="shared" si="9"/>
        <v>Switzerland</v>
      </c>
      <c r="C109" s="54">
        <f t="shared" si="10"/>
        <v>0</v>
      </c>
      <c r="D109" s="54">
        <f t="shared" si="11"/>
        <v>0</v>
      </c>
      <c r="E109" s="54">
        <f t="shared" si="12"/>
        <v>0</v>
      </c>
      <c r="F109" s="54">
        <f t="shared" si="13"/>
        <v>1</v>
      </c>
      <c r="G109" s="54">
        <f t="shared" si="14"/>
        <v>0</v>
      </c>
      <c r="H109" s="79">
        <f t="shared" si="15"/>
        <v>4</v>
      </c>
    </row>
    <row r="110" spans="2:20">
      <c r="B110" s="63" t="str">
        <f t="shared" si="9"/>
        <v>Zimbabwe</v>
      </c>
      <c r="C110" s="64">
        <f t="shared" si="10"/>
        <v>0</v>
      </c>
      <c r="D110" s="64">
        <f t="shared" si="11"/>
        <v>0</v>
      </c>
      <c r="E110" s="64">
        <f t="shared" si="12"/>
        <v>0</v>
      </c>
      <c r="F110" s="64">
        <f t="shared" si="13"/>
        <v>1</v>
      </c>
      <c r="G110" s="64">
        <f t="shared" si="14"/>
        <v>0</v>
      </c>
      <c r="H110" s="80">
        <f t="shared" si="15"/>
        <v>4</v>
      </c>
    </row>
    <row r="111" spans="2:20">
      <c r="B111" s="81" t="str">
        <f t="shared" si="9"/>
        <v>Papua New Guinea</v>
      </c>
      <c r="C111" s="82">
        <f t="shared" si="10"/>
        <v>0</v>
      </c>
      <c r="D111" s="82">
        <f t="shared" si="11"/>
        <v>0</v>
      </c>
      <c r="E111" s="82">
        <f t="shared" si="12"/>
        <v>0</v>
      </c>
      <c r="F111" s="82">
        <f t="shared" si="13"/>
        <v>0</v>
      </c>
      <c r="G111" s="82">
        <f t="shared" si="14"/>
        <v>0</v>
      </c>
      <c r="H111" s="83">
        <f t="shared" si="15"/>
        <v>3</v>
      </c>
    </row>
    <row r="112" spans="2:20">
      <c r="B112" s="72" t="s">
        <v>30</v>
      </c>
      <c r="C112" s="73">
        <f t="shared" si="10"/>
        <v>0.24050632911392406</v>
      </c>
      <c r="D112" s="73">
        <f t="shared" si="11"/>
        <v>3.7974683544303799E-2</v>
      </c>
      <c r="E112" s="73">
        <f t="shared" si="12"/>
        <v>0.11392405063291139</v>
      </c>
      <c r="F112" s="73">
        <f t="shared" si="13"/>
        <v>0.45569620253164556</v>
      </c>
      <c r="G112" s="73">
        <f t="shared" si="14"/>
        <v>0.10126582278481013</v>
      </c>
      <c r="H112" s="171">
        <f t="shared" si="15"/>
        <v>79</v>
      </c>
    </row>
    <row r="113" spans="2:8">
      <c r="B113" s="75" t="s">
        <v>31</v>
      </c>
      <c r="C113" s="76">
        <f t="shared" si="10"/>
        <v>0.24193548387096775</v>
      </c>
      <c r="D113" s="76">
        <f t="shared" si="11"/>
        <v>0.16129032258064516</v>
      </c>
      <c r="E113" s="76">
        <f t="shared" si="12"/>
        <v>0.19354838709677419</v>
      </c>
      <c r="F113" s="76">
        <f t="shared" si="13"/>
        <v>0.33870967741935482</v>
      </c>
      <c r="G113" s="76">
        <f t="shared" si="14"/>
        <v>0</v>
      </c>
      <c r="H113" s="172">
        <f t="shared" si="15"/>
        <v>62</v>
      </c>
    </row>
    <row r="115" spans="2:8" ht="23.25">
      <c r="B115" s="127" t="s">
        <v>703</v>
      </c>
    </row>
    <row r="116" spans="2:8" ht="15.75">
      <c r="B116" s="150" t="s">
        <v>330</v>
      </c>
    </row>
    <row r="117" spans="2:8" ht="25.5">
      <c r="B117" s="173" t="s">
        <v>36</v>
      </c>
      <c r="C117" s="173" t="s">
        <v>37</v>
      </c>
      <c r="D117" s="173" t="s">
        <v>38</v>
      </c>
      <c r="E117" s="173" t="s">
        <v>6</v>
      </c>
      <c r="F117" s="173" t="s">
        <v>39</v>
      </c>
      <c r="G117" s="173" t="s">
        <v>7</v>
      </c>
      <c r="H117" s="173" t="s">
        <v>40</v>
      </c>
    </row>
    <row r="118" spans="2:8">
      <c r="B118" s="155" t="s">
        <v>95</v>
      </c>
      <c r="C118" s="103">
        <v>3953</v>
      </c>
      <c r="D118" s="103">
        <v>4025</v>
      </c>
      <c r="E118" s="103">
        <v>7985</v>
      </c>
      <c r="F118" s="224">
        <f>IFERROR(Table792226894[[#This Row],[Persons]]/$C$23,"-")</f>
        <v>0.99020337301587302</v>
      </c>
      <c r="G118" s="207">
        <v>7925</v>
      </c>
      <c r="H118" s="64">
        <f t="shared" ref="H118:H128" si="16">IFERROR((E118-G118)/G118,"..")</f>
        <v>7.5709779179810727E-3</v>
      </c>
    </row>
    <row r="119" spans="2:8">
      <c r="B119" s="158" t="s">
        <v>190</v>
      </c>
      <c r="C119" s="106">
        <v>8</v>
      </c>
      <c r="D119" s="106">
        <v>5</v>
      </c>
      <c r="E119" s="106">
        <v>16</v>
      </c>
      <c r="F119" s="226">
        <f>IFERROR(Table792226894[[#This Row],[Persons]]/$C$23,"-")</f>
        <v>1.984126984126984E-3</v>
      </c>
      <c r="G119" s="106" t="s">
        <v>94</v>
      </c>
      <c r="H119" s="54" t="str">
        <f t="shared" si="16"/>
        <v>..</v>
      </c>
    </row>
    <row r="120" spans="2:8">
      <c r="B120" s="155" t="s">
        <v>146</v>
      </c>
      <c r="C120" s="103">
        <v>3</v>
      </c>
      <c r="D120" s="103">
        <v>0</v>
      </c>
      <c r="E120" s="103">
        <v>9</v>
      </c>
      <c r="F120" s="224">
        <f>IFERROR(Table792226894[[#This Row],[Persons]]/$C$23,"-")</f>
        <v>1.1160714285714285E-3</v>
      </c>
      <c r="G120" s="103" t="s">
        <v>94</v>
      </c>
      <c r="H120" s="64" t="str">
        <f t="shared" si="16"/>
        <v>..</v>
      </c>
    </row>
    <row r="121" spans="2:8">
      <c r="B121" s="158" t="s">
        <v>206</v>
      </c>
      <c r="C121" s="106">
        <v>0</v>
      </c>
      <c r="D121" s="106">
        <v>0</v>
      </c>
      <c r="E121" s="106">
        <v>7</v>
      </c>
      <c r="F121" s="226">
        <f>IFERROR(Table792226894[[#This Row],[Persons]]/$C$23,"-")</f>
        <v>8.6805555555555551E-4</v>
      </c>
      <c r="G121" s="106" t="s">
        <v>94</v>
      </c>
      <c r="H121" s="54" t="str">
        <f t="shared" si="16"/>
        <v>..</v>
      </c>
    </row>
    <row r="122" spans="2:8">
      <c r="B122" s="155" t="s">
        <v>99</v>
      </c>
      <c r="C122" s="103">
        <v>5</v>
      </c>
      <c r="D122" s="103">
        <v>0</v>
      </c>
      <c r="E122" s="103">
        <v>5</v>
      </c>
      <c r="F122" s="224">
        <f>IFERROR(Table792226894[[#This Row],[Persons]]/$C$23,"-")</f>
        <v>6.2003968253968251E-4</v>
      </c>
      <c r="G122" s="103" t="s">
        <v>94</v>
      </c>
      <c r="H122" s="64" t="str">
        <f t="shared" si="16"/>
        <v>..</v>
      </c>
    </row>
    <row r="123" spans="2:8">
      <c r="B123" s="158" t="s">
        <v>196</v>
      </c>
      <c r="C123" s="106">
        <v>6</v>
      </c>
      <c r="D123" s="106">
        <v>0</v>
      </c>
      <c r="E123" s="106">
        <v>5</v>
      </c>
      <c r="F123" s="226">
        <f>IFERROR(Table792226894[[#This Row],[Persons]]/$C$23,"-")</f>
        <v>6.2003968253968251E-4</v>
      </c>
      <c r="G123" s="106" t="s">
        <v>94</v>
      </c>
      <c r="H123" s="54" t="str">
        <f t="shared" si="16"/>
        <v>..</v>
      </c>
    </row>
    <row r="124" spans="2:8">
      <c r="B124" s="155" t="s">
        <v>212</v>
      </c>
      <c r="C124" s="103">
        <v>0</v>
      </c>
      <c r="D124" s="103">
        <v>4</v>
      </c>
      <c r="E124" s="103">
        <v>4</v>
      </c>
      <c r="F124" s="224">
        <f>IFERROR(Table792226894[[#This Row],[Persons]]/$C$23,"-")</f>
        <v>4.96031746031746E-4</v>
      </c>
      <c r="G124" s="103" t="s">
        <v>94</v>
      </c>
      <c r="H124" s="64" t="str">
        <f t="shared" si="16"/>
        <v>..</v>
      </c>
    </row>
    <row r="125" spans="2:8">
      <c r="B125" s="158" t="s">
        <v>213</v>
      </c>
      <c r="C125" s="106">
        <v>0</v>
      </c>
      <c r="D125" s="106">
        <v>0</v>
      </c>
      <c r="E125" s="106">
        <v>4</v>
      </c>
      <c r="F125" s="226">
        <f>IFERROR(Table792226894[[#This Row],[Persons]]/$C$23,"-")</f>
        <v>4.96031746031746E-4</v>
      </c>
      <c r="G125" s="106" t="s">
        <v>94</v>
      </c>
      <c r="H125" s="54" t="str">
        <f t="shared" si="16"/>
        <v>..</v>
      </c>
    </row>
    <row r="126" spans="2:8">
      <c r="B126" s="155" t="s">
        <v>55</v>
      </c>
      <c r="C126" s="103">
        <v>0</v>
      </c>
      <c r="D126" s="103">
        <v>3</v>
      </c>
      <c r="E126" s="103">
        <v>4</v>
      </c>
      <c r="F126" s="224">
        <f>IFERROR(Table792226894[[#This Row],[Persons]]/$C$23,"-")</f>
        <v>4.96031746031746E-4</v>
      </c>
      <c r="G126" s="103" t="s">
        <v>94</v>
      </c>
      <c r="H126" s="64" t="str">
        <f t="shared" si="16"/>
        <v>..</v>
      </c>
    </row>
    <row r="127" spans="2:8">
      <c r="B127" s="158" t="s">
        <v>147</v>
      </c>
      <c r="C127" s="106">
        <v>3</v>
      </c>
      <c r="D127" s="106">
        <v>3</v>
      </c>
      <c r="E127" s="106">
        <v>4</v>
      </c>
      <c r="F127" s="226">
        <f>IFERROR(Table792226894[[#This Row],[Persons]]/$C$23,"-")</f>
        <v>4.96031746031746E-4</v>
      </c>
      <c r="G127" s="106">
        <v>11</v>
      </c>
      <c r="H127" s="54">
        <f t="shared" si="16"/>
        <v>-0.63636363636363635</v>
      </c>
    </row>
    <row r="128" spans="2:8">
      <c r="B128" s="158" t="s">
        <v>127</v>
      </c>
      <c r="C128" s="106">
        <f>Table792226894[[#Totals],[Males]]-SUM(C118:C127)</f>
        <v>16</v>
      </c>
      <c r="D128" s="106">
        <f>Table792226894[[#Totals],[Females]]-SUM(D118:D127)</f>
        <v>30</v>
      </c>
      <c r="E128" s="106">
        <f>Table792226894[[#Totals],[Persons]]-SUM(E118:E127)</f>
        <v>21</v>
      </c>
      <c r="F128" s="226" t="s">
        <v>94</v>
      </c>
      <c r="G128" s="106">
        <f>Table792226894[[#Totals],[2011 Census]]-SUM(G118:G127)</f>
        <v>47</v>
      </c>
      <c r="H128" s="54">
        <f t="shared" si="16"/>
        <v>-0.55319148936170215</v>
      </c>
    </row>
    <row r="129" spans="2:9">
      <c r="B129" s="284" t="s">
        <v>872</v>
      </c>
      <c r="C129" s="175" t="s">
        <v>215</v>
      </c>
      <c r="D129" s="175" t="s">
        <v>216</v>
      </c>
      <c r="E129" s="176" t="s">
        <v>217</v>
      </c>
      <c r="F129" s="177" t="s">
        <v>22</v>
      </c>
      <c r="G129" s="176">
        <f>E23</f>
        <v>7983</v>
      </c>
      <c r="H129" s="637">
        <f>(Table792226894[[#Totals],[Persons]]-Table792226894[[#Totals],[2011 Census]])/Table792226894[[#Totals],[2011 Census]]</f>
        <v>1.0146561443066516E-2</v>
      </c>
    </row>
    <row r="130" spans="2:9">
      <c r="B130" s="389" t="s">
        <v>873</v>
      </c>
      <c r="C130" s="180"/>
      <c r="D130" s="180"/>
      <c r="E130" s="180"/>
      <c r="F130" s="181"/>
      <c r="G130" s="180"/>
      <c r="H130" s="180"/>
      <c r="I130" s="182"/>
    </row>
    <row r="131" spans="2:9">
      <c r="B131" s="183"/>
      <c r="C131" s="183"/>
      <c r="D131" s="183"/>
      <c r="E131" s="183"/>
      <c r="F131" s="174"/>
      <c r="G131" s="553"/>
      <c r="H131" s="183"/>
      <c r="I131" s="183"/>
    </row>
    <row r="132" spans="2:9" ht="23.25">
      <c r="B132" s="127" t="s">
        <v>704</v>
      </c>
    </row>
    <row r="133" spans="2:9" ht="15.75">
      <c r="B133" s="150" t="s">
        <v>825</v>
      </c>
    </row>
    <row r="134" spans="2:9">
      <c r="B134" s="140" t="s">
        <v>36</v>
      </c>
      <c r="C134" s="145" t="s">
        <v>42</v>
      </c>
      <c r="D134" s="145" t="s">
        <v>43</v>
      </c>
      <c r="E134" s="145" t="s">
        <v>44</v>
      </c>
      <c r="F134" s="145" t="s">
        <v>45</v>
      </c>
      <c r="G134" s="145" t="s">
        <v>46</v>
      </c>
      <c r="H134" s="145" t="s">
        <v>28</v>
      </c>
    </row>
    <row r="135" spans="2:9">
      <c r="B135" s="185" t="s">
        <v>128</v>
      </c>
      <c r="C135" s="186"/>
      <c r="D135" s="186"/>
      <c r="E135" s="186"/>
      <c r="F135" s="186"/>
      <c r="G135" s="186"/>
      <c r="H135" s="187"/>
    </row>
    <row r="136" spans="2:9">
      <c r="B136" s="188" t="s">
        <v>48</v>
      </c>
      <c r="C136" s="209">
        <v>1424</v>
      </c>
      <c r="D136" s="209">
        <v>1523</v>
      </c>
      <c r="E136" s="209">
        <v>2387</v>
      </c>
      <c r="F136" s="209">
        <v>1227</v>
      </c>
      <c r="G136" s="209">
        <v>189</v>
      </c>
      <c r="H136" s="210">
        <v>6740</v>
      </c>
    </row>
    <row r="137" spans="2:9">
      <c r="B137" s="191" t="s">
        <v>49</v>
      </c>
      <c r="C137" s="207">
        <v>734</v>
      </c>
      <c r="D137" s="207">
        <v>131</v>
      </c>
      <c r="E137" s="207">
        <v>120</v>
      </c>
      <c r="F137" s="207">
        <v>42</v>
      </c>
      <c r="G137" s="207">
        <v>32</v>
      </c>
      <c r="H137" s="208">
        <v>1065</v>
      </c>
    </row>
    <row r="138" spans="2:9">
      <c r="B138" s="188" t="s">
        <v>50</v>
      </c>
      <c r="C138" s="209">
        <v>2257</v>
      </c>
      <c r="D138" s="209">
        <v>1682</v>
      </c>
      <c r="E138" s="209">
        <v>2544</v>
      </c>
      <c r="F138" s="209">
        <v>1283</v>
      </c>
      <c r="G138" s="209">
        <v>225</v>
      </c>
      <c r="H138" s="210">
        <v>7985</v>
      </c>
    </row>
    <row r="139" spans="2:9">
      <c r="B139" s="194" t="s">
        <v>51</v>
      </c>
      <c r="C139" s="96">
        <f>IFERROR(C137/$H$138,"-")</f>
        <v>9.1922354414527244E-2</v>
      </c>
      <c r="D139" s="96">
        <f t="shared" ref="D139:G139" si="17">IFERROR(D137/$H$138,"-")</f>
        <v>1.6405760801502817E-2</v>
      </c>
      <c r="E139" s="96">
        <f t="shared" si="17"/>
        <v>1.5028177833437696E-2</v>
      </c>
      <c r="F139" s="96">
        <f t="shared" si="17"/>
        <v>5.2598622417031936E-3</v>
      </c>
      <c r="G139" s="96">
        <f t="shared" si="17"/>
        <v>4.0075140889167188E-3</v>
      </c>
      <c r="H139" s="97">
        <f>IFERROR(H137/H138,"-")</f>
        <v>0.13337507827175954</v>
      </c>
    </row>
    <row r="140" spans="2:9">
      <c r="B140" s="195" t="s">
        <v>190</v>
      </c>
      <c r="C140" s="196"/>
      <c r="D140" s="196"/>
      <c r="E140" s="196"/>
      <c r="F140" s="196"/>
      <c r="G140" s="196"/>
      <c r="H140" s="197"/>
    </row>
    <row r="141" spans="2:9">
      <c r="B141" s="191" t="s">
        <v>48</v>
      </c>
      <c r="C141" s="241">
        <v>0</v>
      </c>
      <c r="D141" s="241">
        <v>0</v>
      </c>
      <c r="E141" s="241">
        <v>0</v>
      </c>
      <c r="F141" s="241">
        <v>0</v>
      </c>
      <c r="G141" s="241">
        <v>0</v>
      </c>
      <c r="H141" s="203">
        <v>0</v>
      </c>
    </row>
    <row r="142" spans="2:9">
      <c r="B142" s="188" t="s">
        <v>49</v>
      </c>
      <c r="C142" s="238">
        <v>13</v>
      </c>
      <c r="D142" s="238">
        <v>0</v>
      </c>
      <c r="E142" s="238">
        <v>0</v>
      </c>
      <c r="F142" s="238">
        <v>0</v>
      </c>
      <c r="G142" s="238">
        <v>0</v>
      </c>
      <c r="H142" s="554">
        <v>13</v>
      </c>
    </row>
    <row r="143" spans="2:9">
      <c r="B143" s="191" t="s">
        <v>50</v>
      </c>
      <c r="C143" s="241">
        <v>16</v>
      </c>
      <c r="D143" s="241">
        <v>0</v>
      </c>
      <c r="E143" s="241">
        <v>0</v>
      </c>
      <c r="F143" s="241">
        <v>0</v>
      </c>
      <c r="G143" s="241">
        <v>0</v>
      </c>
      <c r="H143" s="203">
        <v>16</v>
      </c>
    </row>
    <row r="144" spans="2:9">
      <c r="B144" s="202" t="s">
        <v>51</v>
      </c>
      <c r="C144" s="101">
        <f t="shared" ref="C144:H144" si="18">IFERROR(C142/$H$142,"-")</f>
        <v>1</v>
      </c>
      <c r="D144" s="101">
        <f t="shared" si="18"/>
        <v>0</v>
      </c>
      <c r="E144" s="101">
        <f t="shared" si="18"/>
        <v>0</v>
      </c>
      <c r="F144" s="101">
        <f t="shared" si="18"/>
        <v>0</v>
      </c>
      <c r="G144" s="101">
        <f t="shared" si="18"/>
        <v>0</v>
      </c>
      <c r="H144" s="99">
        <f t="shared" si="18"/>
        <v>1</v>
      </c>
    </row>
    <row r="145" spans="2:8">
      <c r="B145" s="185" t="s">
        <v>146</v>
      </c>
      <c r="C145" s="186"/>
      <c r="D145" s="186"/>
      <c r="E145" s="186"/>
      <c r="F145" s="186"/>
      <c r="G145" s="186"/>
      <c r="H145" s="203"/>
    </row>
    <row r="146" spans="2:8">
      <c r="B146" s="188" t="s">
        <v>48</v>
      </c>
      <c r="C146" s="238">
        <v>0</v>
      </c>
      <c r="D146" s="238">
        <v>0</v>
      </c>
      <c r="E146" s="238">
        <v>4</v>
      </c>
      <c r="F146" s="239">
        <v>0</v>
      </c>
      <c r="G146" s="434">
        <v>0</v>
      </c>
      <c r="H146" s="554">
        <v>9</v>
      </c>
    </row>
    <row r="147" spans="2:8">
      <c r="B147" s="191" t="s">
        <v>49</v>
      </c>
      <c r="C147" s="241">
        <v>0</v>
      </c>
      <c r="D147" s="241">
        <v>0</v>
      </c>
      <c r="E147" s="241">
        <v>0</v>
      </c>
      <c r="F147" s="242">
        <v>0</v>
      </c>
      <c r="G147" s="241">
        <v>0</v>
      </c>
      <c r="H147" s="203">
        <v>0</v>
      </c>
    </row>
    <row r="148" spans="2:8">
      <c r="B148" s="188" t="s">
        <v>50</v>
      </c>
      <c r="C148" s="238">
        <v>0</v>
      </c>
      <c r="D148" s="238">
        <v>0</v>
      </c>
      <c r="E148" s="238">
        <v>4</v>
      </c>
      <c r="F148" s="238">
        <v>0</v>
      </c>
      <c r="G148" s="435">
        <v>0</v>
      </c>
      <c r="H148" s="554">
        <v>9</v>
      </c>
    </row>
    <row r="149" spans="2:8">
      <c r="B149" s="194" t="s">
        <v>51</v>
      </c>
      <c r="C149" s="96" t="str">
        <f t="shared" ref="C149:H149" si="19">IFERROR(C147/$H$147,"-")</f>
        <v>-</v>
      </c>
      <c r="D149" s="96" t="str">
        <f t="shared" si="19"/>
        <v>-</v>
      </c>
      <c r="E149" s="96" t="str">
        <f t="shared" si="19"/>
        <v>-</v>
      </c>
      <c r="F149" s="96" t="str">
        <f t="shared" si="19"/>
        <v>-</v>
      </c>
      <c r="G149" s="96" t="str">
        <f t="shared" si="19"/>
        <v>-</v>
      </c>
      <c r="H149" s="97" t="str">
        <f t="shared" si="19"/>
        <v>-</v>
      </c>
    </row>
    <row r="150" spans="2:8">
      <c r="B150" s="195" t="s">
        <v>206</v>
      </c>
      <c r="C150" s="196"/>
      <c r="D150" s="196"/>
      <c r="E150" s="196"/>
      <c r="F150" s="196"/>
      <c r="G150" s="196"/>
      <c r="H150" s="197"/>
    </row>
    <row r="151" spans="2:8">
      <c r="B151" s="191" t="s">
        <v>48</v>
      </c>
      <c r="C151" s="241">
        <v>0</v>
      </c>
      <c r="D151" s="241">
        <v>0</v>
      </c>
      <c r="E151" s="241">
        <v>0</v>
      </c>
      <c r="F151" s="241">
        <v>0</v>
      </c>
      <c r="G151" s="241">
        <v>0</v>
      </c>
      <c r="H151" s="203">
        <v>7</v>
      </c>
    </row>
    <row r="152" spans="2:8">
      <c r="B152" s="188" t="s">
        <v>49</v>
      </c>
      <c r="C152" s="238">
        <v>0</v>
      </c>
      <c r="D152" s="238">
        <v>0</v>
      </c>
      <c r="E152" s="238">
        <v>0</v>
      </c>
      <c r="F152" s="238">
        <v>0</v>
      </c>
      <c r="G152" s="238">
        <v>0</v>
      </c>
      <c r="H152" s="554">
        <v>0</v>
      </c>
    </row>
    <row r="153" spans="2:8">
      <c r="B153" s="191" t="s">
        <v>50</v>
      </c>
      <c r="C153" s="241">
        <v>0</v>
      </c>
      <c r="D153" s="241">
        <v>0</v>
      </c>
      <c r="E153" s="241">
        <v>0</v>
      </c>
      <c r="F153" s="241">
        <v>0</v>
      </c>
      <c r="G153" s="241">
        <v>0</v>
      </c>
      <c r="H153" s="203">
        <v>7</v>
      </c>
    </row>
    <row r="154" spans="2:8">
      <c r="B154" s="202" t="s">
        <v>51</v>
      </c>
      <c r="C154" s="98">
        <f>IFERROR(C152/$H$153,"-")</f>
        <v>0</v>
      </c>
      <c r="D154" s="98">
        <f t="shared" ref="D154:H154" si="20">IFERROR(D152/$H$153,"-")</f>
        <v>0</v>
      </c>
      <c r="E154" s="98">
        <f t="shared" si="20"/>
        <v>0</v>
      </c>
      <c r="F154" s="98">
        <f t="shared" si="20"/>
        <v>0</v>
      </c>
      <c r="G154" s="98">
        <f t="shared" si="20"/>
        <v>0</v>
      </c>
      <c r="H154" s="100">
        <f t="shared" si="20"/>
        <v>0</v>
      </c>
    </row>
    <row r="155" spans="2:8">
      <c r="B155" s="185" t="s">
        <v>99</v>
      </c>
      <c r="C155" s="186"/>
      <c r="D155" s="186"/>
      <c r="E155" s="186"/>
      <c r="F155" s="186"/>
      <c r="G155" s="186"/>
      <c r="H155" s="187"/>
    </row>
    <row r="156" spans="2:8">
      <c r="B156" s="188" t="s">
        <v>48</v>
      </c>
      <c r="C156" s="238">
        <v>0</v>
      </c>
      <c r="D156" s="238">
        <v>0</v>
      </c>
      <c r="E156" s="238">
        <v>5</v>
      </c>
      <c r="F156" s="238">
        <v>0</v>
      </c>
      <c r="G156" s="238">
        <v>0</v>
      </c>
      <c r="H156" s="554">
        <v>5</v>
      </c>
    </row>
    <row r="157" spans="2:8">
      <c r="B157" s="191" t="s">
        <v>49</v>
      </c>
      <c r="C157" s="241">
        <v>0</v>
      </c>
      <c r="D157" s="241">
        <v>0</v>
      </c>
      <c r="E157" s="241">
        <v>0</v>
      </c>
      <c r="F157" s="241">
        <v>0</v>
      </c>
      <c r="G157" s="241">
        <v>0</v>
      </c>
      <c r="H157" s="203">
        <v>0</v>
      </c>
    </row>
    <row r="158" spans="2:8">
      <c r="B158" s="188" t="s">
        <v>50</v>
      </c>
      <c r="C158" s="238">
        <v>0</v>
      </c>
      <c r="D158" s="238">
        <v>0</v>
      </c>
      <c r="E158" s="238">
        <v>5</v>
      </c>
      <c r="F158" s="238">
        <v>0</v>
      </c>
      <c r="G158" s="238">
        <v>0</v>
      </c>
      <c r="H158" s="554">
        <v>5</v>
      </c>
    </row>
    <row r="159" spans="2:8">
      <c r="B159" s="194" t="s">
        <v>51</v>
      </c>
      <c r="C159" s="96">
        <f>IFERROR(C157/$H$158,"..")</f>
        <v>0</v>
      </c>
      <c r="D159" s="96">
        <f t="shared" ref="D159:H159" si="21">IFERROR(D157/$H$158,"..")</f>
        <v>0</v>
      </c>
      <c r="E159" s="96">
        <f t="shared" si="21"/>
        <v>0</v>
      </c>
      <c r="F159" s="96">
        <f t="shared" si="21"/>
        <v>0</v>
      </c>
      <c r="G159" s="96">
        <f t="shared" si="21"/>
        <v>0</v>
      </c>
      <c r="H159" s="97">
        <f t="shared" si="21"/>
        <v>0</v>
      </c>
    </row>
    <row r="160" spans="2:8">
      <c r="B160" s="195" t="s">
        <v>114</v>
      </c>
      <c r="C160" s="196"/>
      <c r="D160" s="196"/>
      <c r="E160" s="196"/>
      <c r="F160" s="196"/>
      <c r="G160" s="196"/>
      <c r="H160" s="197"/>
    </row>
    <row r="161" spans="2:10">
      <c r="B161" s="191" t="s">
        <v>48</v>
      </c>
      <c r="C161" s="207">
        <v>1428</v>
      </c>
      <c r="D161" s="207">
        <v>1533</v>
      </c>
      <c r="E161" s="207">
        <v>2403</v>
      </c>
      <c r="F161" s="207">
        <v>1245</v>
      </c>
      <c r="G161" s="207">
        <v>189</v>
      </c>
      <c r="H161" s="208">
        <v>6798</v>
      </c>
    </row>
    <row r="162" spans="2:10">
      <c r="B162" s="188" t="s">
        <v>49</v>
      </c>
      <c r="C162" s="209">
        <v>748</v>
      </c>
      <c r="D162" s="209">
        <v>136</v>
      </c>
      <c r="E162" s="209">
        <v>120</v>
      </c>
      <c r="F162" s="209">
        <v>42</v>
      </c>
      <c r="G162" s="209">
        <v>32</v>
      </c>
      <c r="H162" s="210">
        <v>1078</v>
      </c>
    </row>
    <row r="163" spans="2:10">
      <c r="B163" s="191" t="s">
        <v>50</v>
      </c>
      <c r="C163" s="207">
        <v>2284</v>
      </c>
      <c r="D163" s="207">
        <v>1684</v>
      </c>
      <c r="E163" s="207">
        <v>2565</v>
      </c>
      <c r="F163" s="207">
        <v>1306</v>
      </c>
      <c r="G163" s="207">
        <v>225</v>
      </c>
      <c r="H163" s="208">
        <v>8058</v>
      </c>
    </row>
    <row r="164" spans="2:10">
      <c r="B164" s="202" t="s">
        <v>51</v>
      </c>
      <c r="C164" s="101">
        <f>IFERROR(C162/$H$163,"-")</f>
        <v>9.2827004219409287E-2</v>
      </c>
      <c r="D164" s="101">
        <f t="shared" ref="D164:H164" si="22">IFERROR(D162/$H$163,"-")</f>
        <v>1.6877637130801686E-2</v>
      </c>
      <c r="E164" s="101">
        <f t="shared" si="22"/>
        <v>1.4892032762472078E-2</v>
      </c>
      <c r="F164" s="101">
        <f t="shared" si="22"/>
        <v>5.2122114668652275E-3</v>
      </c>
      <c r="G164" s="101">
        <f t="shared" si="22"/>
        <v>3.971208736659221E-3</v>
      </c>
      <c r="H164" s="99">
        <f t="shared" si="22"/>
        <v>0.13378009431620749</v>
      </c>
    </row>
    <row r="166" spans="2:10" ht="23.25">
      <c r="B166" s="127" t="s">
        <v>705</v>
      </c>
    </row>
    <row r="167" spans="2:10" ht="15.75">
      <c r="B167" s="150" t="s">
        <v>826</v>
      </c>
      <c r="J167" s="555"/>
    </row>
    <row r="168" spans="2:10" ht="25.5">
      <c r="B168" s="916"/>
      <c r="C168" s="1233" t="s">
        <v>125</v>
      </c>
      <c r="D168" s="1234"/>
      <c r="E168" s="1234"/>
      <c r="F168" s="1238"/>
      <c r="G168" s="607" t="s">
        <v>10</v>
      </c>
      <c r="H168" s="212" t="s">
        <v>58</v>
      </c>
      <c r="I168" s="213" t="s">
        <v>70</v>
      </c>
    </row>
    <row r="169" spans="2:10" ht="63.75">
      <c r="B169" s="560" t="s">
        <v>879</v>
      </c>
      <c r="C169" s="214" t="s">
        <v>61</v>
      </c>
      <c r="D169" s="214" t="s">
        <v>60</v>
      </c>
      <c r="E169" s="214" t="s">
        <v>59</v>
      </c>
      <c r="F169" s="609" t="s">
        <v>848</v>
      </c>
      <c r="G169" s="214" t="s">
        <v>122</v>
      </c>
      <c r="H169" s="214" t="s">
        <v>640</v>
      </c>
      <c r="I169" s="215" t="s">
        <v>641</v>
      </c>
    </row>
    <row r="170" spans="2:10" s="118" customFormat="1">
      <c r="B170" s="216" t="s">
        <v>118</v>
      </c>
      <c r="C170" s="217">
        <v>7876</v>
      </c>
      <c r="D170" s="217">
        <v>0</v>
      </c>
      <c r="E170" s="217">
        <v>7</v>
      </c>
      <c r="F170" s="217">
        <v>46</v>
      </c>
      <c r="G170" s="217">
        <v>0</v>
      </c>
      <c r="H170" s="217">
        <v>20</v>
      </c>
      <c r="I170" s="218">
        <v>7952</v>
      </c>
    </row>
    <row r="171" spans="2:10" s="118" customFormat="1">
      <c r="B171" s="216" t="s">
        <v>116</v>
      </c>
      <c r="C171" s="217">
        <v>253</v>
      </c>
      <c r="D171" s="217">
        <v>3</v>
      </c>
      <c r="E171" s="217">
        <v>36</v>
      </c>
      <c r="F171" s="217">
        <v>6</v>
      </c>
      <c r="G171" s="217">
        <v>15</v>
      </c>
      <c r="H171" s="217">
        <v>11</v>
      </c>
      <c r="I171" s="218">
        <v>322</v>
      </c>
    </row>
    <row r="172" spans="2:10" s="118" customFormat="1">
      <c r="B172" s="216" t="s">
        <v>115</v>
      </c>
      <c r="C172" s="217">
        <v>108</v>
      </c>
      <c r="D172" s="217">
        <v>13</v>
      </c>
      <c r="E172" s="217">
        <v>31</v>
      </c>
      <c r="F172" s="217">
        <v>0</v>
      </c>
      <c r="G172" s="217">
        <v>54</v>
      </c>
      <c r="H172" s="217">
        <v>0</v>
      </c>
      <c r="I172" s="218">
        <v>205</v>
      </c>
    </row>
    <row r="173" spans="2:10" s="118" customFormat="1">
      <c r="B173" s="216" t="s">
        <v>117</v>
      </c>
      <c r="C173" s="217">
        <v>51</v>
      </c>
      <c r="D173" s="217">
        <v>3</v>
      </c>
      <c r="E173" s="217">
        <v>5</v>
      </c>
      <c r="F173" s="217">
        <v>0</v>
      </c>
      <c r="G173" s="217">
        <v>17</v>
      </c>
      <c r="H173" s="217">
        <v>0</v>
      </c>
      <c r="I173" s="218">
        <v>81</v>
      </c>
    </row>
    <row r="174" spans="2:10" s="118" customFormat="1">
      <c r="B174" s="216" t="s">
        <v>244</v>
      </c>
      <c r="C174" s="217">
        <v>56</v>
      </c>
      <c r="D174" s="217">
        <v>0</v>
      </c>
      <c r="E174" s="217">
        <v>0</v>
      </c>
      <c r="F174" s="217">
        <v>0</v>
      </c>
      <c r="G174" s="217">
        <v>0</v>
      </c>
      <c r="H174" s="217">
        <v>0</v>
      </c>
      <c r="I174" s="218">
        <v>55</v>
      </c>
    </row>
    <row r="175" spans="2:10" s="118" customFormat="1">
      <c r="B175" s="216" t="s">
        <v>119</v>
      </c>
      <c r="C175" s="217">
        <v>43</v>
      </c>
      <c r="D175" s="217">
        <v>3</v>
      </c>
      <c r="E175" s="217">
        <v>3</v>
      </c>
      <c r="F175" s="217">
        <v>0</v>
      </c>
      <c r="G175" s="217">
        <v>10</v>
      </c>
      <c r="H175" s="217">
        <v>0</v>
      </c>
      <c r="I175" s="218">
        <v>60</v>
      </c>
    </row>
    <row r="176" spans="2:10" s="118" customFormat="1">
      <c r="B176" s="216" t="s">
        <v>111</v>
      </c>
      <c r="C176" s="217">
        <v>8</v>
      </c>
      <c r="D176" s="217">
        <v>7</v>
      </c>
      <c r="E176" s="217">
        <v>3</v>
      </c>
      <c r="F176" s="217">
        <v>0</v>
      </c>
      <c r="G176" s="217">
        <v>0</v>
      </c>
      <c r="H176" s="217">
        <v>0</v>
      </c>
      <c r="I176" s="218">
        <v>20</v>
      </c>
    </row>
    <row r="177" spans="2:9" s="118" customFormat="1">
      <c r="B177" s="216" t="s">
        <v>97</v>
      </c>
      <c r="C177" s="217">
        <v>13</v>
      </c>
      <c r="D177" s="217">
        <v>0</v>
      </c>
      <c r="E177" s="217">
        <v>3</v>
      </c>
      <c r="F177" s="217">
        <v>0</v>
      </c>
      <c r="G177" s="217">
        <v>5</v>
      </c>
      <c r="H177" s="217">
        <v>0</v>
      </c>
      <c r="I177" s="218">
        <v>27</v>
      </c>
    </row>
    <row r="178" spans="2:9" s="118" customFormat="1">
      <c r="B178" s="216" t="s">
        <v>147</v>
      </c>
      <c r="C178" s="217">
        <v>3</v>
      </c>
      <c r="D178" s="217">
        <v>5</v>
      </c>
      <c r="E178" s="217">
        <v>0</v>
      </c>
      <c r="F178" s="217">
        <v>0</v>
      </c>
      <c r="G178" s="217">
        <v>3</v>
      </c>
      <c r="H178" s="217">
        <v>0</v>
      </c>
      <c r="I178" s="218">
        <v>9</v>
      </c>
    </row>
    <row r="179" spans="2:9" s="118" customFormat="1">
      <c r="B179" s="219" t="s">
        <v>98</v>
      </c>
      <c r="C179" s="220">
        <v>5</v>
      </c>
      <c r="D179" s="220">
        <v>4</v>
      </c>
      <c r="E179" s="220">
        <v>0</v>
      </c>
      <c r="F179" s="220">
        <v>0</v>
      </c>
      <c r="G179" s="220">
        <v>4</v>
      </c>
      <c r="H179" s="220">
        <v>0</v>
      </c>
      <c r="I179" s="221">
        <v>15</v>
      </c>
    </row>
    <row r="180" spans="2:9">
      <c r="B180" s="389" t="s">
        <v>878</v>
      </c>
    </row>
    <row r="182" spans="2:9" ht="23.25">
      <c r="B182" s="127" t="s">
        <v>706</v>
      </c>
    </row>
    <row r="183" spans="2:9" ht="15.75">
      <c r="B183" s="150" t="s">
        <v>332</v>
      </c>
    </row>
    <row r="184" spans="2:9" ht="25.5">
      <c r="B184" s="252" t="s">
        <v>64</v>
      </c>
      <c r="C184" s="233" t="s">
        <v>37</v>
      </c>
      <c r="D184" s="233" t="s">
        <v>38</v>
      </c>
      <c r="E184" s="233" t="s">
        <v>6</v>
      </c>
      <c r="F184" s="222" t="s">
        <v>1</v>
      </c>
      <c r="G184" s="223" t="s">
        <v>7</v>
      </c>
      <c r="H184" s="222" t="s">
        <v>65</v>
      </c>
      <c r="I184" s="222" t="s">
        <v>8</v>
      </c>
    </row>
    <row r="185" spans="2:9">
      <c r="B185" s="645" t="s">
        <v>153</v>
      </c>
      <c r="C185" s="103">
        <v>2551</v>
      </c>
      <c r="D185" s="103">
        <v>2496</v>
      </c>
      <c r="E185" s="103">
        <v>5047</v>
      </c>
      <c r="F185" s="224">
        <f>SUM(Table79222681196[[#This Row],[Persons]]/$C$15)</f>
        <v>0.55916241967649016</v>
      </c>
      <c r="G185" s="228">
        <v>4452</v>
      </c>
      <c r="H185" s="103">
        <f>Table79222681196[[#This Row],[Persons]]-Table79222681196[[#This Row],[2011 Census]]</f>
        <v>595</v>
      </c>
      <c r="I185" s="64">
        <f t="shared" ref="I185:I206" si="23">IFERROR((E185-G185)/G185,"..")</f>
        <v>0.13364779874213836</v>
      </c>
    </row>
    <row r="186" spans="2:9">
      <c r="B186" s="646" t="s">
        <v>151</v>
      </c>
      <c r="C186" s="106">
        <v>554</v>
      </c>
      <c r="D186" s="106">
        <v>578</v>
      </c>
      <c r="E186" s="106">
        <v>1136</v>
      </c>
      <c r="F186" s="226">
        <f>SUM(Table79222681196[[#This Row],[Persons]]/$C$15)</f>
        <v>0.12585863062264568</v>
      </c>
      <c r="G186" s="227">
        <v>1232</v>
      </c>
      <c r="H186" s="106">
        <f>Table79222681196[[#This Row],[Persons]]-Table79222681196[[#This Row],[2011 Census]]</f>
        <v>-96</v>
      </c>
      <c r="I186" s="54">
        <f t="shared" si="23"/>
        <v>-7.792207792207792E-2</v>
      </c>
    </row>
    <row r="187" spans="2:9">
      <c r="B187" s="645" t="s">
        <v>150</v>
      </c>
      <c r="C187" s="103">
        <v>339</v>
      </c>
      <c r="D187" s="103">
        <v>361</v>
      </c>
      <c r="E187" s="103">
        <v>697</v>
      </c>
      <c r="F187" s="224">
        <f>SUM(Table79222681196[[#This Row],[Persons]]/$C$15)</f>
        <v>7.722136051407047E-2</v>
      </c>
      <c r="G187" s="228">
        <v>138</v>
      </c>
      <c r="H187" s="103">
        <f>Table79222681196[[#This Row],[Persons]]-Table79222681196[[#This Row],[2011 Census]]</f>
        <v>559</v>
      </c>
      <c r="I187" s="64">
        <f t="shared" si="23"/>
        <v>4.0507246376811592</v>
      </c>
    </row>
    <row r="188" spans="2:9">
      <c r="B188" s="646" t="s">
        <v>164</v>
      </c>
      <c r="C188" s="106">
        <v>261</v>
      </c>
      <c r="D188" s="106">
        <v>274</v>
      </c>
      <c r="E188" s="106">
        <v>538</v>
      </c>
      <c r="F188" s="226">
        <f>SUM(Table79222681196[[#This Row],[Persons]]/$C$15)</f>
        <v>5.9605583868823399E-2</v>
      </c>
      <c r="G188" s="227">
        <v>842</v>
      </c>
      <c r="H188" s="106">
        <f>Table79222681196[[#This Row],[Persons]]-Table79222681196[[#This Row],[2011 Census]]</f>
        <v>-304</v>
      </c>
      <c r="I188" s="54">
        <f t="shared" si="23"/>
        <v>-0.36104513064133015</v>
      </c>
    </row>
    <row r="189" spans="2:9">
      <c r="B189" s="645" t="s">
        <v>149</v>
      </c>
      <c r="C189" s="103">
        <v>231</v>
      </c>
      <c r="D189" s="103">
        <v>230</v>
      </c>
      <c r="E189" s="103">
        <v>457</v>
      </c>
      <c r="F189" s="224">
        <f>SUM(Table79222681196[[#This Row],[Persons]]/$C$15)</f>
        <v>5.0631508974074896E-2</v>
      </c>
      <c r="G189" s="228">
        <v>633</v>
      </c>
      <c r="H189" s="103">
        <f>Table79222681196[[#This Row],[Persons]]-Table79222681196[[#This Row],[2011 Census]]</f>
        <v>-176</v>
      </c>
      <c r="I189" s="64">
        <f t="shared" si="23"/>
        <v>-0.27804107424960506</v>
      </c>
    </row>
    <row r="190" spans="2:9">
      <c r="B190" s="646" t="s">
        <v>155</v>
      </c>
      <c r="C190" s="106">
        <v>12</v>
      </c>
      <c r="D190" s="106">
        <v>13</v>
      </c>
      <c r="E190" s="106">
        <v>26</v>
      </c>
      <c r="F190" s="226">
        <f>SUM(Table79222681196[[#This Row],[Persons]]/$C$15)</f>
        <v>2.8805672501661865E-3</v>
      </c>
      <c r="G190" s="227">
        <v>16</v>
      </c>
      <c r="H190" s="106">
        <f>Table79222681196[[#This Row],[Persons]]-Table79222681196[[#This Row],[2011 Census]]</f>
        <v>10</v>
      </c>
      <c r="I190" s="54">
        <f t="shared" si="23"/>
        <v>0.625</v>
      </c>
    </row>
    <row r="191" spans="2:9">
      <c r="B191" s="645" t="s">
        <v>156</v>
      </c>
      <c r="C191" s="103">
        <v>9</v>
      </c>
      <c r="D191" s="103">
        <v>4</v>
      </c>
      <c r="E191" s="103">
        <v>18</v>
      </c>
      <c r="F191" s="224">
        <f>SUM(Table79222681196[[#This Row],[Persons]]/$C$15)</f>
        <v>1.9942388654996678E-3</v>
      </c>
      <c r="G191" s="228">
        <v>14</v>
      </c>
      <c r="H191" s="103">
        <f>Table79222681196[[#This Row],[Persons]]-Table79222681196[[#This Row],[2011 Census]]</f>
        <v>4</v>
      </c>
      <c r="I191" s="64">
        <f t="shared" si="23"/>
        <v>0.2857142857142857</v>
      </c>
    </row>
    <row r="192" spans="2:9">
      <c r="B192" s="646" t="s">
        <v>152</v>
      </c>
      <c r="C192" s="106">
        <v>6</v>
      </c>
      <c r="D192" s="106">
        <v>4</v>
      </c>
      <c r="E192" s="106">
        <v>18</v>
      </c>
      <c r="F192" s="226">
        <f>SUM(Table79222681196[[#This Row],[Persons]]/$C$15)</f>
        <v>1.9942388654996678E-3</v>
      </c>
      <c r="G192" s="227">
        <v>22</v>
      </c>
      <c r="H192" s="106">
        <f>Table79222681196[[#This Row],[Persons]]-Table79222681196[[#This Row],[2011 Census]]</f>
        <v>-4</v>
      </c>
      <c r="I192" s="54">
        <f t="shared" si="23"/>
        <v>-0.18181818181818182</v>
      </c>
    </row>
    <row r="193" spans="2:9">
      <c r="B193" s="645" t="s">
        <v>162</v>
      </c>
      <c r="C193" s="103">
        <v>4</v>
      </c>
      <c r="D193" s="103">
        <v>7</v>
      </c>
      <c r="E193" s="103">
        <v>18</v>
      </c>
      <c r="F193" s="224">
        <f>SUM(Table79222681196[[#This Row],[Persons]]/$C$15)</f>
        <v>1.9942388654996678E-3</v>
      </c>
      <c r="G193" s="228">
        <v>45</v>
      </c>
      <c r="H193" s="103">
        <f>Table79222681196[[#This Row],[Persons]]-Table79222681196[[#This Row],[2011 Census]]</f>
        <v>-27</v>
      </c>
      <c r="I193" s="64">
        <f t="shared" si="23"/>
        <v>-0.6</v>
      </c>
    </row>
    <row r="194" spans="2:9">
      <c r="B194" s="646" t="s">
        <v>157</v>
      </c>
      <c r="C194" s="106">
        <v>7</v>
      </c>
      <c r="D194" s="106">
        <v>6</v>
      </c>
      <c r="E194" s="106">
        <v>16</v>
      </c>
      <c r="F194" s="226">
        <f>SUM(Table79222681196[[#This Row],[Persons]]/$C$15)</f>
        <v>1.7726567693330379E-3</v>
      </c>
      <c r="G194" s="227"/>
      <c r="H194" s="106">
        <f>Table79222681196[[#This Row],[Persons]]-Table79222681196[[#This Row],[2011 Census]]</f>
        <v>16</v>
      </c>
      <c r="I194" s="54" t="str">
        <f t="shared" si="23"/>
        <v>..</v>
      </c>
    </row>
    <row r="195" spans="2:9">
      <c r="B195" s="645" t="s">
        <v>154</v>
      </c>
      <c r="C195" s="103">
        <v>9</v>
      </c>
      <c r="D195" s="103">
        <v>11</v>
      </c>
      <c r="E195" s="103">
        <v>11</v>
      </c>
      <c r="F195" s="224">
        <f>SUM(Table79222681196[[#This Row],[Persons]]/$C$15)</f>
        <v>1.2187015289164636E-3</v>
      </c>
      <c r="G195" s="228">
        <v>20</v>
      </c>
      <c r="H195" s="103">
        <f>Table79222681196[[#This Row],[Persons]]-Table79222681196[[#This Row],[2011 Census]]</f>
        <v>-9</v>
      </c>
      <c r="I195" s="64">
        <f t="shared" si="23"/>
        <v>-0.45</v>
      </c>
    </row>
    <row r="196" spans="2:9">
      <c r="B196" s="646" t="s">
        <v>165</v>
      </c>
      <c r="C196" s="106">
        <v>3</v>
      </c>
      <c r="D196" s="106">
        <v>3</v>
      </c>
      <c r="E196" s="106">
        <v>6</v>
      </c>
      <c r="F196" s="226">
        <f>SUM(Table79222681196[[#This Row],[Persons]]/$C$15)</f>
        <v>6.6474628849988926E-4</v>
      </c>
      <c r="G196" s="227"/>
      <c r="H196" s="106">
        <f>Table79222681196[[#This Row],[Persons]]-Table79222681196[[#This Row],[2011 Census]]</f>
        <v>6</v>
      </c>
      <c r="I196" s="54" t="str">
        <f t="shared" si="23"/>
        <v>..</v>
      </c>
    </row>
    <row r="197" spans="2:9">
      <c r="B197" s="645" t="s">
        <v>163</v>
      </c>
      <c r="C197" s="103">
        <v>0</v>
      </c>
      <c r="D197" s="103">
        <v>5</v>
      </c>
      <c r="E197" s="103">
        <v>5</v>
      </c>
      <c r="F197" s="224">
        <f>SUM(Table79222681196[[#This Row],[Persons]]/$C$15)</f>
        <v>5.5395524041657431E-4</v>
      </c>
      <c r="G197" s="228"/>
      <c r="H197" s="103">
        <f>Table79222681196[[#This Row],[Persons]]-Table79222681196[[#This Row],[2011 Census]]</f>
        <v>5</v>
      </c>
      <c r="I197" s="64" t="str">
        <f t="shared" si="23"/>
        <v>..</v>
      </c>
    </row>
    <row r="198" spans="2:9">
      <c r="B198" s="646" t="s">
        <v>160</v>
      </c>
      <c r="C198" s="106">
        <v>0</v>
      </c>
      <c r="D198" s="106">
        <v>3</v>
      </c>
      <c r="E198" s="106">
        <v>4</v>
      </c>
      <c r="F198" s="226">
        <f>SUM(Table79222681196[[#This Row],[Persons]]/$C$15)</f>
        <v>4.4316419233325947E-4</v>
      </c>
      <c r="G198" s="227"/>
      <c r="H198" s="106">
        <f>Table79222681196[[#This Row],[Persons]]-Table79222681196[[#This Row],[2011 Census]]</f>
        <v>4</v>
      </c>
      <c r="I198" s="54" t="str">
        <f t="shared" si="23"/>
        <v>..</v>
      </c>
    </row>
    <row r="199" spans="2:9">
      <c r="B199" s="645" t="s">
        <v>168</v>
      </c>
      <c r="C199" s="103">
        <v>0</v>
      </c>
      <c r="D199" s="103">
        <v>3</v>
      </c>
      <c r="E199" s="103">
        <v>3</v>
      </c>
      <c r="F199" s="224">
        <f>SUM(Table79222681196[[#This Row],[Persons]]/$C$15)</f>
        <v>3.3237314424994463E-4</v>
      </c>
      <c r="G199" s="228">
        <v>12</v>
      </c>
      <c r="H199" s="103">
        <f>Table79222681196[[#This Row],[Persons]]-Table79222681196[[#This Row],[2011 Census]]</f>
        <v>-9</v>
      </c>
      <c r="I199" s="64">
        <f t="shared" si="23"/>
        <v>-0.75</v>
      </c>
    </row>
    <row r="200" spans="2:9">
      <c r="B200" s="646"/>
      <c r="C200" s="106"/>
      <c r="D200" s="106"/>
      <c r="E200" s="106"/>
      <c r="F200" s="226"/>
      <c r="G200" s="227"/>
      <c r="H200" s="106"/>
      <c r="I200" s="54"/>
    </row>
    <row r="201" spans="2:9">
      <c r="B201" s="645"/>
      <c r="C201" s="103"/>
      <c r="D201" s="103"/>
      <c r="E201" s="103"/>
      <c r="F201" s="224"/>
      <c r="G201" s="228"/>
      <c r="H201" s="103"/>
      <c r="I201" s="64"/>
    </row>
    <row r="202" spans="2:9">
      <c r="B202" s="646"/>
      <c r="C202" s="106"/>
      <c r="D202" s="106"/>
      <c r="E202" s="106"/>
      <c r="F202" s="226"/>
      <c r="G202" s="227"/>
      <c r="H202" s="106"/>
      <c r="I202" s="54"/>
    </row>
    <row r="203" spans="2:9">
      <c r="B203" s="645"/>
      <c r="C203" s="103"/>
      <c r="D203" s="103"/>
      <c r="E203" s="103"/>
      <c r="F203" s="224"/>
      <c r="G203" s="228"/>
      <c r="H203" s="103"/>
      <c r="I203" s="64"/>
    </row>
    <row r="204" spans="2:9">
      <c r="B204" s="646"/>
      <c r="C204" s="106"/>
      <c r="D204" s="106"/>
      <c r="E204" s="106"/>
      <c r="F204" s="226"/>
      <c r="G204" s="227"/>
      <c r="H204" s="106"/>
      <c r="I204" s="54"/>
    </row>
    <row r="205" spans="2:9">
      <c r="B205" s="158" t="s">
        <v>71</v>
      </c>
      <c r="C205" s="106">
        <v>139</v>
      </c>
      <c r="D205" s="106">
        <v>143</v>
      </c>
      <c r="E205" s="106">
        <v>276</v>
      </c>
      <c r="F205" s="226">
        <f>SUM(Table79222681196[[#This Row],[Persons]]/$C$15)</f>
        <v>3.0578329270994905E-2</v>
      </c>
      <c r="G205" s="227"/>
      <c r="H205" s="106">
        <f>Table79222681196[[#This Row],[Persons]]-Table79222681196[[#This Row],[2011 Census]]</f>
        <v>276</v>
      </c>
      <c r="I205" s="54" t="str">
        <f t="shared" si="23"/>
        <v>..</v>
      </c>
    </row>
    <row r="206" spans="2:9">
      <c r="B206" s="155" t="s">
        <v>58</v>
      </c>
      <c r="C206" s="103">
        <v>362</v>
      </c>
      <c r="D206" s="103">
        <v>406</v>
      </c>
      <c r="E206" s="103">
        <v>770</v>
      </c>
      <c r="F206" s="224">
        <f>SUM(Table79222681196[[#This Row],[Persons]]/$C$15)</f>
        <v>8.5309107024152453E-2</v>
      </c>
      <c r="G206" s="228"/>
      <c r="H206" s="103">
        <f>Table79222681196[[#This Row],[Persons]]-Table79222681196[[#This Row],[2011 Census]]</f>
        <v>770</v>
      </c>
      <c r="I206" s="64" t="str">
        <f t="shared" si="23"/>
        <v>..</v>
      </c>
    </row>
    <row r="207" spans="2:9" ht="15.75">
      <c r="B207" s="115" t="s">
        <v>72</v>
      </c>
      <c r="C207" s="229" t="s">
        <v>308</v>
      </c>
      <c r="D207" s="229" t="s">
        <v>309</v>
      </c>
      <c r="E207" s="116">
        <f>C15</f>
        <v>9026</v>
      </c>
      <c r="F207" s="230" t="s">
        <v>22</v>
      </c>
      <c r="G207" s="116">
        <f>E15</f>
        <v>9098</v>
      </c>
      <c r="H207" s="229">
        <f>SUM(Table79222681196[[#Totals],[Persons]]-Table79222681196[[#Totals],[2011 Census]])</f>
        <v>-72</v>
      </c>
      <c r="I207" s="231">
        <f>SUM((Table79222681196[[#Totals],[Persons]]-Table79222681196[[#Totals],[2011 Census]])/Table79222681196[[#Totals],[2011 Census]])</f>
        <v>-7.9138272147724776E-3</v>
      </c>
    </row>
    <row r="208" spans="2:9" ht="15.75">
      <c r="B208" s="114"/>
      <c r="C208" s="114"/>
      <c r="D208" s="114"/>
      <c r="E208" s="114"/>
      <c r="F208" s="114"/>
      <c r="G208" s="114"/>
      <c r="H208" s="114"/>
      <c r="I208" s="114"/>
    </row>
    <row r="209" spans="2:10" ht="23.25">
      <c r="B209" s="127" t="s">
        <v>707</v>
      </c>
    </row>
    <row r="210" spans="2:10" ht="15.75">
      <c r="B210" s="150" t="s">
        <v>827</v>
      </c>
    </row>
    <row r="211" spans="2:10" ht="25.5">
      <c r="B211" s="173" t="s">
        <v>64</v>
      </c>
      <c r="C211" s="222" t="s">
        <v>66</v>
      </c>
      <c r="D211" s="222" t="s">
        <v>67</v>
      </c>
      <c r="E211" s="222" t="s">
        <v>58</v>
      </c>
      <c r="F211" s="233" t="s">
        <v>68</v>
      </c>
      <c r="G211" s="233" t="s">
        <v>24</v>
      </c>
      <c r="H211" s="233" t="s">
        <v>25</v>
      </c>
      <c r="I211" s="233" t="s">
        <v>69</v>
      </c>
      <c r="J211" s="233" t="s">
        <v>27</v>
      </c>
    </row>
    <row r="212" spans="2:10">
      <c r="B212" s="573" t="s">
        <v>153</v>
      </c>
      <c r="C212" s="574">
        <v>5022</v>
      </c>
      <c r="D212" s="574">
        <v>9</v>
      </c>
      <c r="E212" s="574">
        <v>14</v>
      </c>
      <c r="F212" s="234">
        <v>1517</v>
      </c>
      <c r="G212" s="235">
        <v>994</v>
      </c>
      <c r="H212" s="235">
        <v>1587</v>
      </c>
      <c r="I212" s="236">
        <v>809</v>
      </c>
      <c r="J212" s="617">
        <v>140</v>
      </c>
    </row>
    <row r="213" spans="2:10">
      <c r="B213" s="183" t="s">
        <v>151</v>
      </c>
      <c r="C213" s="575">
        <v>1112</v>
      </c>
      <c r="D213" s="575">
        <v>16</v>
      </c>
      <c r="E213" s="575">
        <v>7</v>
      </c>
      <c r="F213" s="237">
        <v>277</v>
      </c>
      <c r="G213" s="238">
        <v>259</v>
      </c>
      <c r="H213" s="238">
        <v>374</v>
      </c>
      <c r="I213" s="239">
        <v>202</v>
      </c>
      <c r="J213" s="618">
        <v>30</v>
      </c>
    </row>
    <row r="214" spans="2:10">
      <c r="B214" s="573" t="s">
        <v>150</v>
      </c>
      <c r="C214" s="574">
        <v>676</v>
      </c>
      <c r="D214" s="574">
        <v>16</v>
      </c>
      <c r="E214" s="574">
        <v>5</v>
      </c>
      <c r="F214" s="240">
        <v>160</v>
      </c>
      <c r="G214" s="241">
        <v>160</v>
      </c>
      <c r="H214" s="241">
        <v>230</v>
      </c>
      <c r="I214" s="242">
        <v>112</v>
      </c>
      <c r="J214" s="619">
        <v>31</v>
      </c>
    </row>
    <row r="215" spans="2:10">
      <c r="B215" s="183" t="s">
        <v>164</v>
      </c>
      <c r="C215" s="575">
        <v>530</v>
      </c>
      <c r="D215" s="575">
        <v>0</v>
      </c>
      <c r="E215" s="575">
        <v>5</v>
      </c>
      <c r="F215" s="237">
        <v>148</v>
      </c>
      <c r="G215" s="238">
        <v>104</v>
      </c>
      <c r="H215" s="238">
        <v>170</v>
      </c>
      <c r="I215" s="239">
        <v>91</v>
      </c>
      <c r="J215" s="618">
        <v>15</v>
      </c>
    </row>
    <row r="216" spans="2:10">
      <c r="B216" s="573" t="s">
        <v>149</v>
      </c>
      <c r="C216" s="574">
        <v>422</v>
      </c>
      <c r="D216" s="574">
        <v>32</v>
      </c>
      <c r="E216" s="574">
        <v>5</v>
      </c>
      <c r="F216" s="240">
        <v>87</v>
      </c>
      <c r="G216" s="241">
        <v>71</v>
      </c>
      <c r="H216" s="241">
        <v>176</v>
      </c>
      <c r="I216" s="242">
        <v>95</v>
      </c>
      <c r="J216" s="619">
        <v>17</v>
      </c>
    </row>
    <row r="217" spans="2:10">
      <c r="B217" s="183" t="s">
        <v>155</v>
      </c>
      <c r="C217" s="575">
        <v>25</v>
      </c>
      <c r="D217" s="575">
        <v>0</v>
      </c>
      <c r="E217" s="575">
        <v>0</v>
      </c>
      <c r="F217" s="237">
        <v>11</v>
      </c>
      <c r="G217" s="238">
        <v>0</v>
      </c>
      <c r="H217" s="238">
        <v>18</v>
      </c>
      <c r="I217" s="239">
        <v>0</v>
      </c>
      <c r="J217" s="618">
        <v>0</v>
      </c>
    </row>
    <row r="218" spans="2:10">
      <c r="B218" s="573" t="s">
        <v>156</v>
      </c>
      <c r="C218" s="574">
        <v>8</v>
      </c>
      <c r="D218" s="574">
        <v>0</v>
      </c>
      <c r="E218" s="574">
        <v>3</v>
      </c>
      <c r="F218" s="240">
        <v>0</v>
      </c>
      <c r="G218" s="241">
        <v>0</v>
      </c>
      <c r="H218" s="241">
        <v>5</v>
      </c>
      <c r="I218" s="242">
        <v>6</v>
      </c>
      <c r="J218" s="619">
        <v>0</v>
      </c>
    </row>
    <row r="219" spans="2:10">
      <c r="B219" s="183" t="s">
        <v>152</v>
      </c>
      <c r="C219" s="575">
        <v>9</v>
      </c>
      <c r="D219" s="575">
        <v>0</v>
      </c>
      <c r="E219" s="575">
        <v>0</v>
      </c>
      <c r="F219" s="237">
        <v>9</v>
      </c>
      <c r="G219" s="238">
        <v>0</v>
      </c>
      <c r="H219" s="238">
        <v>11</v>
      </c>
      <c r="I219" s="239">
        <v>0</v>
      </c>
      <c r="J219" s="618">
        <v>0</v>
      </c>
    </row>
    <row r="220" spans="2:10">
      <c r="B220" s="573" t="s">
        <v>162</v>
      </c>
      <c r="C220" s="574">
        <v>8</v>
      </c>
      <c r="D220" s="574">
        <v>7</v>
      </c>
      <c r="E220" s="574">
        <v>0</v>
      </c>
      <c r="F220" s="240">
        <v>0</v>
      </c>
      <c r="G220" s="241">
        <v>7</v>
      </c>
      <c r="H220" s="241">
        <v>3</v>
      </c>
      <c r="I220" s="242">
        <v>9</v>
      </c>
      <c r="J220" s="619">
        <v>0</v>
      </c>
    </row>
    <row r="221" spans="2:10">
      <c r="B221" s="183" t="s">
        <v>157</v>
      </c>
      <c r="C221" s="575">
        <v>14</v>
      </c>
      <c r="D221" s="575">
        <v>0</v>
      </c>
      <c r="E221" s="575">
        <v>0</v>
      </c>
      <c r="F221" s="237">
        <v>6</v>
      </c>
      <c r="G221" s="238">
        <v>0</v>
      </c>
      <c r="H221" s="238">
        <v>3</v>
      </c>
      <c r="I221" s="239">
        <v>4</v>
      </c>
      <c r="J221" s="618">
        <v>0</v>
      </c>
    </row>
    <row r="222" spans="2:10">
      <c r="B222" s="573" t="s">
        <v>154</v>
      </c>
      <c r="C222" s="574">
        <v>8</v>
      </c>
      <c r="D222" s="574">
        <v>7</v>
      </c>
      <c r="E222" s="574">
        <v>0</v>
      </c>
      <c r="F222" s="240">
        <v>3</v>
      </c>
      <c r="G222" s="241">
        <v>0</v>
      </c>
      <c r="H222" s="241">
        <v>4</v>
      </c>
      <c r="I222" s="242">
        <v>4</v>
      </c>
      <c r="J222" s="619">
        <v>0</v>
      </c>
    </row>
    <row r="223" spans="2:10">
      <c r="B223" s="183" t="s">
        <v>165</v>
      </c>
      <c r="C223" s="575">
        <v>6</v>
      </c>
      <c r="D223" s="575">
        <v>0</v>
      </c>
      <c r="E223" s="575">
        <v>0</v>
      </c>
      <c r="F223" s="237">
        <v>0</v>
      </c>
      <c r="G223" s="238">
        <v>0</v>
      </c>
      <c r="H223" s="238">
        <v>3</v>
      </c>
      <c r="I223" s="239">
        <v>3</v>
      </c>
      <c r="J223" s="618">
        <v>0</v>
      </c>
    </row>
    <row r="224" spans="2:10">
      <c r="B224" s="573" t="s">
        <v>163</v>
      </c>
      <c r="C224" s="574">
        <v>4</v>
      </c>
      <c r="D224" s="574">
        <v>0</v>
      </c>
      <c r="E224" s="574">
        <v>0</v>
      </c>
      <c r="F224" s="240">
        <v>0</v>
      </c>
      <c r="G224" s="241">
        <v>0</v>
      </c>
      <c r="H224" s="241">
        <v>0</v>
      </c>
      <c r="I224" s="242">
        <v>0</v>
      </c>
      <c r="J224" s="619">
        <v>0</v>
      </c>
    </row>
    <row r="225" spans="2:11">
      <c r="B225" s="183" t="s">
        <v>160</v>
      </c>
      <c r="C225" s="575">
        <v>0</v>
      </c>
      <c r="D225" s="575">
        <v>6</v>
      </c>
      <c r="E225" s="575">
        <v>0</v>
      </c>
      <c r="F225" s="237">
        <v>0</v>
      </c>
      <c r="G225" s="238">
        <v>0</v>
      </c>
      <c r="H225" s="238">
        <v>6</v>
      </c>
      <c r="I225" s="239">
        <v>0</v>
      </c>
      <c r="J225" s="618">
        <v>0</v>
      </c>
    </row>
    <row r="226" spans="2:11">
      <c r="B226" s="573" t="s">
        <v>168</v>
      </c>
      <c r="C226" s="574">
        <v>3</v>
      </c>
      <c r="D226" s="574">
        <v>0</v>
      </c>
      <c r="E226" s="574">
        <v>0</v>
      </c>
      <c r="F226" s="240">
        <v>0</v>
      </c>
      <c r="G226" s="241">
        <v>0</v>
      </c>
      <c r="H226" s="241">
        <v>0</v>
      </c>
      <c r="I226" s="242">
        <v>0</v>
      </c>
      <c r="J226" s="619">
        <v>0</v>
      </c>
    </row>
    <row r="227" spans="2:11">
      <c r="B227" s="183" t="s">
        <v>159</v>
      </c>
      <c r="C227" s="575">
        <v>0</v>
      </c>
      <c r="D227" s="575">
        <v>0</v>
      </c>
      <c r="E227" s="575">
        <v>0</v>
      </c>
      <c r="F227" s="237">
        <v>0</v>
      </c>
      <c r="G227" s="238">
        <v>0</v>
      </c>
      <c r="H227" s="238">
        <v>0</v>
      </c>
      <c r="I227" s="239">
        <v>0</v>
      </c>
      <c r="J227" s="618">
        <v>0</v>
      </c>
    </row>
    <row r="228" spans="2:11">
      <c r="B228" s="573" t="s">
        <v>166</v>
      </c>
      <c r="C228" s="574">
        <v>0</v>
      </c>
      <c r="D228" s="574">
        <v>0</v>
      </c>
      <c r="E228" s="574">
        <v>0</v>
      </c>
      <c r="F228" s="240">
        <v>0</v>
      </c>
      <c r="G228" s="241">
        <v>0</v>
      </c>
      <c r="H228" s="241">
        <v>0</v>
      </c>
      <c r="I228" s="242">
        <v>0</v>
      </c>
      <c r="J228" s="619">
        <v>0</v>
      </c>
    </row>
    <row r="229" spans="2:11">
      <c r="B229" s="183" t="s">
        <v>167</v>
      </c>
      <c r="C229" s="575">
        <v>0</v>
      </c>
      <c r="D229" s="575">
        <v>0</v>
      </c>
      <c r="E229" s="575">
        <v>0</v>
      </c>
      <c r="F229" s="237">
        <v>0</v>
      </c>
      <c r="G229" s="238">
        <v>0</v>
      </c>
      <c r="H229" s="238">
        <v>0</v>
      </c>
      <c r="I229" s="239">
        <v>0</v>
      </c>
      <c r="J229" s="618">
        <v>0</v>
      </c>
    </row>
    <row r="230" spans="2:11">
      <c r="B230" s="573" t="s">
        <v>158</v>
      </c>
      <c r="C230" s="574">
        <v>0</v>
      </c>
      <c r="D230" s="574">
        <v>0</v>
      </c>
      <c r="E230" s="574">
        <v>0</v>
      </c>
      <c r="F230" s="240">
        <v>0</v>
      </c>
      <c r="G230" s="241">
        <v>0</v>
      </c>
      <c r="H230" s="241">
        <v>0</v>
      </c>
      <c r="I230" s="242">
        <v>0</v>
      </c>
      <c r="J230" s="619">
        <v>0</v>
      </c>
    </row>
    <row r="231" spans="2:11">
      <c r="B231" s="183" t="s">
        <v>161</v>
      </c>
      <c r="C231" s="575">
        <v>0</v>
      </c>
      <c r="D231" s="575">
        <v>0</v>
      </c>
      <c r="E231" s="575">
        <v>0</v>
      </c>
      <c r="F231" s="237">
        <v>0</v>
      </c>
      <c r="G231" s="238">
        <v>0</v>
      </c>
      <c r="H231" s="238">
        <v>0</v>
      </c>
      <c r="I231" s="239">
        <v>0</v>
      </c>
      <c r="J231" s="618">
        <v>0</v>
      </c>
    </row>
    <row r="232" spans="2:11">
      <c r="B232" s="183" t="s">
        <v>71</v>
      </c>
      <c r="C232" s="575">
        <v>246</v>
      </c>
      <c r="D232" s="575">
        <v>28</v>
      </c>
      <c r="E232" s="575">
        <v>0</v>
      </c>
      <c r="F232" s="237">
        <v>0</v>
      </c>
      <c r="G232" s="238">
        <v>0</v>
      </c>
      <c r="H232" s="238">
        <v>0</v>
      </c>
      <c r="I232" s="239">
        <v>0</v>
      </c>
      <c r="J232" s="618">
        <v>0</v>
      </c>
    </row>
    <row r="233" spans="2:11">
      <c r="B233" s="183" t="s">
        <v>58</v>
      </c>
      <c r="C233" s="575">
        <v>617</v>
      </c>
      <c r="D233" s="575">
        <v>3</v>
      </c>
      <c r="E233" s="575">
        <v>145</v>
      </c>
      <c r="F233" s="237">
        <v>289</v>
      </c>
      <c r="G233" s="238">
        <v>148</v>
      </c>
      <c r="H233" s="238">
        <v>175</v>
      </c>
      <c r="I233" s="239">
        <v>123</v>
      </c>
      <c r="J233" s="618">
        <v>28</v>
      </c>
    </row>
    <row r="234" spans="2:11" ht="15.75">
      <c r="B234" s="108" t="s">
        <v>72</v>
      </c>
      <c r="C234" s="110">
        <f>C16</f>
        <v>8712</v>
      </c>
      <c r="D234" s="110">
        <f>C17</f>
        <v>138</v>
      </c>
      <c r="E234" s="110">
        <f>C18</f>
        <v>177</v>
      </c>
      <c r="F234" s="301" t="s">
        <v>281</v>
      </c>
      <c r="G234" s="302" t="s">
        <v>282</v>
      </c>
      <c r="H234" s="302" t="s">
        <v>283</v>
      </c>
      <c r="I234" s="302" t="s">
        <v>284</v>
      </c>
      <c r="J234" s="302" t="s">
        <v>285</v>
      </c>
    </row>
    <row r="237" spans="2:11" ht="15.75">
      <c r="K237" s="285" t="s">
        <v>642</v>
      </c>
    </row>
    <row r="238" spans="2:11" ht="15.75">
      <c r="B238" s="499" t="s">
        <v>857</v>
      </c>
      <c r="C238" s="500"/>
      <c r="D238" s="500"/>
      <c r="E238" s="500"/>
      <c r="F238" s="500"/>
      <c r="G238" s="500"/>
      <c r="H238" s="500"/>
      <c r="I238" s="500"/>
      <c r="J238" s="501"/>
    </row>
    <row r="239" spans="2:11" ht="15.75">
      <c r="B239" s="502" t="s">
        <v>424</v>
      </c>
      <c r="C239" s="503"/>
      <c r="D239" s="503"/>
      <c r="E239" s="503"/>
      <c r="F239" s="503"/>
      <c r="G239" s="503"/>
      <c r="H239" s="503"/>
      <c r="I239" s="503"/>
      <c r="J239" s="504"/>
    </row>
    <row r="240" spans="2:11" ht="15.75">
      <c r="B240" s="505" t="s">
        <v>824</v>
      </c>
      <c r="C240" s="506"/>
      <c r="D240" s="506"/>
      <c r="E240" s="506"/>
      <c r="F240" s="506"/>
      <c r="G240" s="506"/>
      <c r="H240" s="506"/>
      <c r="I240" s="506"/>
      <c r="J240" s="507"/>
    </row>
  </sheetData>
  <sheetProtection password="C6DE" sheet="1" objects="1" scenarios="1"/>
  <mergeCells count="15">
    <mergeCell ref="J1:K1"/>
    <mergeCell ref="I30:J30"/>
    <mergeCell ref="I31:J31"/>
    <mergeCell ref="I32:J32"/>
    <mergeCell ref="I33:J33"/>
    <mergeCell ref="I34:J34"/>
    <mergeCell ref="I40:J40"/>
    <mergeCell ref="C168:F168"/>
    <mergeCell ref="I41:J41"/>
    <mergeCell ref="I42:J42"/>
    <mergeCell ref="I35:J35"/>
    <mergeCell ref="I36:J36"/>
    <mergeCell ref="I37:J37"/>
    <mergeCell ref="I38:J38"/>
    <mergeCell ref="I39:J39"/>
  </mergeCells>
  <hyperlinks>
    <hyperlink ref="J1:K1" location="'Index '!A1" display="Back to Index"/>
    <hyperlink ref="K237" location="'3.8 East Arnhem'!K1" display="Back to top"/>
  </hyperlinks>
  <pageMargins left="0.35433070866141736" right="3.937007874015748E-2" top="0.51181102362204722" bottom="0.35433070866141736" header="0.11811023622047245" footer="0.11811023622047245"/>
  <pageSetup paperSize="9" scale="56" fitToHeight="10" orientation="portrait" horizontalDpi="300" verticalDpi="300" r:id="rId1"/>
  <headerFooter differentFirst="1" alignWithMargins="0">
    <oddHeader>&amp;L&amp;"Helvetica Bold,Bold"&amp;18&amp;K000000X LGA (Continued)</oddHeader>
  </headerFooter>
  <ignoredErrors>
    <ignoredError sqref="F128:G128" calculatedColumn="1"/>
  </ignoredErrors>
  <drawing r:id="rId2"/>
  <tableParts count="6">
    <tablePart r:id="rId3"/>
    <tablePart r:id="rId4"/>
    <tablePart r:id="rId5"/>
    <tablePart r:id="rId6"/>
    <tablePart r:id="rId7"/>
    <tablePart r:id="rId8"/>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60"/>
  <sheetViews>
    <sheetView showGridLines="0" zoomScaleNormal="100" zoomScaleSheetLayoutView="120" zoomScalePageLayoutView="75" workbookViewId="0"/>
  </sheetViews>
  <sheetFormatPr defaultColWidth="15.625" defaultRowHeight="12.75"/>
  <cols>
    <col min="1" max="1" width="5.875" style="149" customWidth="1"/>
    <col min="2" max="2" width="42" style="149" customWidth="1"/>
    <col min="3" max="10" width="10.875" style="149" customWidth="1"/>
    <col min="11" max="11" width="11.625" style="149" customWidth="1"/>
    <col min="12" max="14" width="15.625" style="149" customWidth="1"/>
    <col min="15" max="18" width="15.625" style="149"/>
    <col min="19" max="28" width="15.625" style="149" customWidth="1"/>
    <col min="29" max="16384" width="15.625" style="149"/>
  </cols>
  <sheetData>
    <row r="1" spans="1:11" ht="15.75">
      <c r="B1" s="122"/>
      <c r="C1" s="122"/>
      <c r="D1" s="122"/>
      <c r="E1" s="122"/>
      <c r="J1" s="1229" t="s">
        <v>359</v>
      </c>
      <c r="K1" s="1229"/>
    </row>
    <row r="2" spans="1:11" ht="30">
      <c r="A2" s="120"/>
      <c r="B2" s="333" t="s">
        <v>908</v>
      </c>
      <c r="C2" s="120"/>
      <c r="D2" s="120"/>
      <c r="E2" s="120"/>
      <c r="F2" s="120"/>
      <c r="G2" s="650"/>
      <c r="H2" s="650"/>
      <c r="I2" s="650"/>
      <c r="J2" s="650"/>
      <c r="K2" s="650"/>
    </row>
    <row r="3" spans="1:11">
      <c r="B3" s="122"/>
      <c r="C3" s="122"/>
      <c r="D3" s="122"/>
      <c r="E3" s="122"/>
      <c r="F3" s="122"/>
    </row>
    <row r="4" spans="1:11">
      <c r="B4" s="122"/>
      <c r="C4" s="122"/>
      <c r="D4" s="122"/>
      <c r="E4" s="122"/>
      <c r="F4" s="122"/>
    </row>
    <row r="5" spans="1:11">
      <c r="B5" s="123"/>
      <c r="C5" s="123"/>
      <c r="D5" s="123"/>
      <c r="E5" s="122"/>
      <c r="F5" s="122"/>
    </row>
    <row r="6" spans="1:11" ht="15.75">
      <c r="B6" s="124" t="s">
        <v>0</v>
      </c>
      <c r="C6" s="53" t="s">
        <v>1</v>
      </c>
      <c r="D6" s="123"/>
      <c r="E6" s="122"/>
      <c r="F6" s="122"/>
    </row>
    <row r="7" spans="1:11" ht="15.75">
      <c r="B7" s="126" t="s">
        <v>2</v>
      </c>
      <c r="C7" s="53">
        <f>D16</f>
        <v>0.67681860273690708</v>
      </c>
      <c r="D7" s="123"/>
      <c r="E7" s="122"/>
      <c r="F7" s="122"/>
    </row>
    <row r="8" spans="1:11" ht="15.75">
      <c r="B8" s="126" t="s">
        <v>3</v>
      </c>
      <c r="C8" s="53">
        <f>D18</f>
        <v>0.2041362280069966</v>
      </c>
      <c r="D8" s="123"/>
      <c r="E8" s="122"/>
      <c r="F8" s="122"/>
    </row>
    <row r="9" spans="1:11" ht="15.75">
      <c r="B9" s="126" t="s">
        <v>4</v>
      </c>
      <c r="C9" s="53">
        <f>D19</f>
        <v>4.5580821072126763E-2</v>
      </c>
      <c r="D9" s="123"/>
      <c r="E9" s="122"/>
      <c r="F9" s="122"/>
    </row>
    <row r="10" spans="1:11" ht="15.75">
      <c r="B10" s="126"/>
      <c r="C10" s="53"/>
      <c r="D10" s="123"/>
      <c r="E10" s="122"/>
      <c r="F10" s="122"/>
    </row>
    <row r="11" spans="1:11" ht="15.75">
      <c r="B11" s="126" t="s">
        <v>5</v>
      </c>
      <c r="C11" s="53">
        <f>D20</f>
        <v>7.305278320814898E-2</v>
      </c>
      <c r="D11" s="123"/>
      <c r="E11" s="122"/>
      <c r="F11" s="122"/>
    </row>
    <row r="12" spans="1:11" ht="23.25">
      <c r="B12" s="127" t="s">
        <v>708</v>
      </c>
    </row>
    <row r="14" spans="1:11" s="128" customFormat="1" ht="25.5">
      <c r="B14" s="252" t="s">
        <v>0</v>
      </c>
      <c r="C14" s="233" t="s">
        <v>6</v>
      </c>
      <c r="D14" s="233" t="s">
        <v>1</v>
      </c>
      <c r="E14" s="233" t="s">
        <v>7</v>
      </c>
      <c r="F14" s="233" t="s">
        <v>65</v>
      </c>
      <c r="G14" s="233" t="s">
        <v>8</v>
      </c>
    </row>
    <row r="15" spans="1:11" s="329" customFormat="1">
      <c r="B15" s="917" t="s">
        <v>9</v>
      </c>
      <c r="C15" s="918">
        <v>9719</v>
      </c>
      <c r="D15" s="919">
        <f t="shared" ref="D15:D25" si="0">(C15/$C$15)</f>
        <v>1</v>
      </c>
      <c r="E15" s="918">
        <v>9186</v>
      </c>
      <c r="F15" s="918">
        <f>(Table4791113157212579399105[[#This Row],[Persons]]-Table4791113157212579399105[[#This Row],[2011 Census]])</f>
        <v>533</v>
      </c>
      <c r="G15" s="919">
        <f>(Table4791113157212579399105[[#This Row],[Change 2011-2016]]/Table4791113157212579399105[[#This Row],[2011 Census]])</f>
        <v>5.8023078597866318E-2</v>
      </c>
    </row>
    <row r="16" spans="1:11" s="329" customFormat="1">
      <c r="B16" s="262" t="s">
        <v>2</v>
      </c>
      <c r="C16" s="55">
        <v>6578</v>
      </c>
      <c r="D16" s="54">
        <f t="shared" si="0"/>
        <v>0.67681860273690708</v>
      </c>
      <c r="E16" s="55">
        <v>7289</v>
      </c>
      <c r="F16" s="55">
        <f>(Table4791113157212579399105[[#This Row],[Persons]]-Table4791113157212579399105[[#This Row],[2011 Census]])</f>
        <v>-711</v>
      </c>
      <c r="G16" s="54">
        <f>(Table4791113157212579399105[[#This Row],[Change 2011-2016]]/Table4791113157212579399105[[#This Row],[2011 Census]])</f>
        <v>-9.7544244752366574E-2</v>
      </c>
    </row>
    <row r="17" spans="2:10" s="329" customFormat="1">
      <c r="B17" s="262" t="s">
        <v>362</v>
      </c>
      <c r="C17" s="55">
        <v>1159</v>
      </c>
      <c r="D17" s="54">
        <f t="shared" si="0"/>
        <v>0.11925095174400659</v>
      </c>
      <c r="E17" s="512">
        <v>988</v>
      </c>
      <c r="F17" s="55">
        <f>(Table4791113157212579399105[[#This Row],[Persons]]-Table4791113157212579399105[[#This Row],[2011 Census]])</f>
        <v>171</v>
      </c>
      <c r="G17" s="54">
        <f>(Table4791113157212579399105[[#This Row],[Change 2011-2016]]/Table4791113157212579399105[[#This Row],[2011 Census]])</f>
        <v>0.17307692307692307</v>
      </c>
    </row>
    <row r="18" spans="2:10" s="329" customFormat="1">
      <c r="B18" s="262" t="s">
        <v>3</v>
      </c>
      <c r="C18" s="55">
        <v>1984</v>
      </c>
      <c r="D18" s="54">
        <f t="shared" si="0"/>
        <v>0.2041362280069966</v>
      </c>
      <c r="E18" s="512">
        <v>909</v>
      </c>
      <c r="F18" s="55">
        <f>(Table4791113157212579399105[[#This Row],[Persons]]-Table4791113157212579399105[[#This Row],[2011 Census]])</f>
        <v>1075</v>
      </c>
      <c r="G18" s="54">
        <f>(Table4791113157212579399105[[#This Row],[Change 2011-2016]]/Table4791113157212579399105[[#This Row],[2011 Census]])</f>
        <v>1.1826182618261827</v>
      </c>
    </row>
    <row r="19" spans="2:10" s="329" customFormat="1">
      <c r="B19" s="262" t="s">
        <v>4</v>
      </c>
      <c r="C19" s="55">
        <v>443</v>
      </c>
      <c r="D19" s="54">
        <f t="shared" si="0"/>
        <v>4.5580821072126763E-2</v>
      </c>
      <c r="E19" s="512">
        <v>479</v>
      </c>
      <c r="F19" s="55">
        <f>(Table4791113157212579399105[[#This Row],[Persons]]-Table4791113157212579399105[[#This Row],[2011 Census]])</f>
        <v>-36</v>
      </c>
      <c r="G19" s="54">
        <f>(Table4791113157212579399105[[#This Row],[Change 2011-2016]]/Table4791113157212579399105[[#This Row],[2011 Census]])</f>
        <v>-7.5156576200417533E-2</v>
      </c>
    </row>
    <row r="20" spans="2:10" s="329" customFormat="1">
      <c r="B20" s="262" t="s">
        <v>5</v>
      </c>
      <c r="C20" s="55">
        <v>710</v>
      </c>
      <c r="D20" s="54">
        <f t="shared" si="0"/>
        <v>7.305278320814898E-2</v>
      </c>
      <c r="E20" s="512">
        <v>509</v>
      </c>
      <c r="F20" s="55">
        <f>(Table4791113157212579399105[[#This Row],[Persons]]-Table4791113157212579399105[[#This Row],[2011 Census]])</f>
        <v>201</v>
      </c>
      <c r="G20" s="54">
        <f>(Table4791113157212579399105[[#This Row],[Change 2011-2016]]/Table4791113157212579399105[[#This Row],[2011 Census]])</f>
        <v>0.39489194499017682</v>
      </c>
    </row>
    <row r="21" spans="2:10" s="329" customFormat="1">
      <c r="B21" s="262" t="s">
        <v>11</v>
      </c>
      <c r="C21" s="55">
        <v>667</v>
      </c>
      <c r="D21" s="54">
        <f t="shared" si="0"/>
        <v>6.8628459718077989E-2</v>
      </c>
      <c r="E21" s="512">
        <v>579</v>
      </c>
      <c r="F21" s="55">
        <f>(Table4791113157212579399105[[#This Row],[Persons]]-Table4791113157212579399105[[#This Row],[2011 Census]])</f>
        <v>88</v>
      </c>
      <c r="G21" s="54">
        <f>(Table4791113157212579399105[[#This Row],[Change 2011-2016]]/Table4791113157212579399105[[#This Row],[2011 Census]])</f>
        <v>0.15198618307426598</v>
      </c>
    </row>
    <row r="22" spans="2:10" s="329" customFormat="1">
      <c r="B22" s="262" t="s">
        <v>12</v>
      </c>
      <c r="C22" s="55">
        <v>2150</v>
      </c>
      <c r="D22" s="54">
        <f t="shared" si="0"/>
        <v>0.22121617450354975</v>
      </c>
      <c r="E22" s="512">
        <v>2344</v>
      </c>
      <c r="F22" s="55">
        <f>(Table4791113157212579399105[[#This Row],[Persons]]-Table4791113157212579399105[[#This Row],[2011 Census]])</f>
        <v>-194</v>
      </c>
      <c r="G22" s="54">
        <f>(Table4791113157212579399105[[#This Row],[Change 2011-2016]]/Table4791113157212579399105[[#This Row],[2011 Census]])</f>
        <v>-8.2764505119453921E-2</v>
      </c>
    </row>
    <row r="23" spans="2:10" s="329" customFormat="1">
      <c r="B23" s="262" t="s">
        <v>13</v>
      </c>
      <c r="C23" s="55">
        <v>1404</v>
      </c>
      <c r="D23" s="54">
        <f t="shared" si="0"/>
        <v>0.14445930651301575</v>
      </c>
      <c r="E23" s="512">
        <v>1013</v>
      </c>
      <c r="F23" s="55">
        <f>(Table4791113157212579399105[[#This Row],[Persons]]-Table4791113157212579399105[[#This Row],[2011 Census]])</f>
        <v>391</v>
      </c>
      <c r="G23" s="54">
        <f>(Table4791113157212579399105[[#This Row],[Change 2011-2016]]/Table4791113157212579399105[[#This Row],[2011 Census]])</f>
        <v>0.38598223099703849</v>
      </c>
    </row>
    <row r="24" spans="2:10" s="329" customFormat="1">
      <c r="B24" s="262" t="s">
        <v>869</v>
      </c>
      <c r="C24" s="55">
        <v>326</v>
      </c>
      <c r="D24" s="54">
        <f t="shared" si="0"/>
        <v>3.3542545529375453E-2</v>
      </c>
      <c r="E24" s="512">
        <v>271</v>
      </c>
      <c r="F24" s="55">
        <f>(Table4791113157212579399105[[#This Row],[Persons]]-Table4791113157212579399105[[#This Row],[2011 Census]])</f>
        <v>55</v>
      </c>
      <c r="G24" s="54">
        <f>(Table4791113157212579399105[[#This Row],[Change 2011-2016]]/Table4791113157212579399105[[#This Row],[2011 Census]])</f>
        <v>0.2029520295202952</v>
      </c>
    </row>
    <row r="25" spans="2:10" s="329" customFormat="1" ht="15" customHeight="1">
      <c r="B25" s="262" t="s">
        <v>870</v>
      </c>
      <c r="C25" s="55">
        <v>241</v>
      </c>
      <c r="D25" s="54">
        <f t="shared" si="0"/>
        <v>2.4796789793188601E-2</v>
      </c>
      <c r="E25" s="512">
        <v>201</v>
      </c>
      <c r="F25" s="55">
        <f>(Table4791113157212579399105[[#This Row],[Persons]]-Table4791113157212579399105[[#This Row],[2011 Census]])</f>
        <v>40</v>
      </c>
      <c r="G25" s="54">
        <f>(Table4791113157212579399105[[#This Row],[Change 2011-2016]]/Table4791113157212579399105[[#This Row],[2011 Census]])</f>
        <v>0.19900497512437812</v>
      </c>
    </row>
    <row r="26" spans="2:10" s="329" customFormat="1">
      <c r="B26" s="349" t="s">
        <v>366</v>
      </c>
    </row>
    <row r="27" spans="2:10" s="329" customFormat="1">
      <c r="B27" s="349"/>
    </row>
    <row r="28" spans="2:10" s="329" customFormat="1" ht="23.25">
      <c r="B28" s="127" t="s">
        <v>709</v>
      </c>
      <c r="D28" s="513"/>
      <c r="E28" s="514"/>
      <c r="F28" s="514"/>
      <c r="G28" s="514"/>
    </row>
    <row r="29" spans="2:10" s="329" customFormat="1" ht="15.75">
      <c r="B29" s="133" t="s">
        <v>333</v>
      </c>
    </row>
    <row r="30" spans="2:10" s="128" customFormat="1" ht="25.5">
      <c r="B30" s="920" t="s">
        <v>14</v>
      </c>
      <c r="C30" s="921" t="s">
        <v>15</v>
      </c>
      <c r="D30" s="921" t="s">
        <v>16</v>
      </c>
      <c r="E30" s="921" t="s">
        <v>17</v>
      </c>
      <c r="F30" s="921" t="s">
        <v>18</v>
      </c>
      <c r="G30" s="921" t="s">
        <v>19</v>
      </c>
      <c r="H30" s="922" t="s">
        <v>20</v>
      </c>
      <c r="I30" s="1240"/>
      <c r="J30" s="1240"/>
    </row>
    <row r="31" spans="2:10" s="329" customFormat="1">
      <c r="B31" s="923" t="s">
        <v>76</v>
      </c>
      <c r="C31" s="924">
        <v>79</v>
      </c>
      <c r="D31" s="924">
        <v>137</v>
      </c>
      <c r="E31" s="924">
        <v>217</v>
      </c>
      <c r="F31" s="925">
        <f>(Table55202469298104[[#This Row],[Persons 2016]]/$C$17)</f>
        <v>0.18723037100949094</v>
      </c>
      <c r="G31" s="926">
        <v>170</v>
      </c>
      <c r="H31" s="927">
        <f>IFERROR((Table55202469298104[[#This Row],[Persons 2016]]-Table55202469298104[[#This Row],[Persons 2011]])/Table55202469298104[[#This Row],[Persons 2011]],"..")</f>
        <v>0.27647058823529413</v>
      </c>
      <c r="I31" s="1250"/>
      <c r="J31" s="1250"/>
    </row>
    <row r="32" spans="2:10" s="329" customFormat="1">
      <c r="B32" s="928" t="s">
        <v>92</v>
      </c>
      <c r="C32" s="287">
        <v>86</v>
      </c>
      <c r="D32" s="287">
        <v>78</v>
      </c>
      <c r="E32" s="287">
        <v>162</v>
      </c>
      <c r="F32" s="288">
        <f>(Table55202469298104[[#This Row],[Persons 2016]]/$C$17)</f>
        <v>0.13977566867989646</v>
      </c>
      <c r="G32" s="908">
        <v>200</v>
      </c>
      <c r="H32" s="929">
        <f>IFERROR((Table55202469298104[[#This Row],[Persons 2016]]-Table55202469298104[[#This Row],[Persons 2011]])/Table55202469298104[[#This Row],[Persons 2011]],"..")</f>
        <v>-0.19</v>
      </c>
      <c r="I32" s="1250"/>
      <c r="J32" s="1250"/>
    </row>
    <row r="33" spans="2:10" s="329" customFormat="1">
      <c r="B33" s="928" t="s">
        <v>73</v>
      </c>
      <c r="C33" s="287">
        <v>86</v>
      </c>
      <c r="D33" s="287">
        <v>69</v>
      </c>
      <c r="E33" s="287">
        <v>155</v>
      </c>
      <c r="F33" s="288">
        <f>(Table55202469298104[[#This Row],[Persons 2016]]/$C$17)</f>
        <v>0.13373597929249353</v>
      </c>
      <c r="G33" s="908">
        <v>168</v>
      </c>
      <c r="H33" s="929">
        <f>IFERROR((Table55202469298104[[#This Row],[Persons 2016]]-Table55202469298104[[#This Row],[Persons 2011]])/Table55202469298104[[#This Row],[Persons 2011]],"..")</f>
        <v>-7.7380952380952384E-2</v>
      </c>
      <c r="I33" s="1250"/>
      <c r="J33" s="1250"/>
    </row>
    <row r="34" spans="2:10" s="329" customFormat="1">
      <c r="B34" s="930" t="s">
        <v>75</v>
      </c>
      <c r="C34" s="287">
        <v>51</v>
      </c>
      <c r="D34" s="287">
        <v>52</v>
      </c>
      <c r="E34" s="287">
        <v>97</v>
      </c>
      <c r="F34" s="288">
        <f>(Table55202469298104[[#This Row],[Persons 2016]]/$C$17)</f>
        <v>8.3692838654012086E-2</v>
      </c>
      <c r="G34" s="908">
        <v>49</v>
      </c>
      <c r="H34" s="929">
        <f>IFERROR((Table55202469298104[[#This Row],[Persons 2016]]-Table55202469298104[[#This Row],[Persons 2011]])/Table55202469298104[[#This Row],[Persons 2011]],"..")</f>
        <v>0.97959183673469385</v>
      </c>
      <c r="I34" s="1250"/>
      <c r="J34" s="1250"/>
    </row>
    <row r="35" spans="2:10" s="329" customFormat="1">
      <c r="B35" s="930" t="s">
        <v>140</v>
      </c>
      <c r="C35" s="287">
        <v>18</v>
      </c>
      <c r="D35" s="287">
        <v>12</v>
      </c>
      <c r="E35" s="287">
        <v>37</v>
      </c>
      <c r="F35" s="288">
        <f>(Table55202469298104[[#This Row],[Persons 2016]]/$C$17)</f>
        <v>3.1924072476272651E-2</v>
      </c>
      <c r="G35" s="908">
        <v>4</v>
      </c>
      <c r="H35" s="929">
        <f>IFERROR((Table55202469298104[[#This Row],[Persons 2016]]-Table55202469298104[[#This Row],[Persons 2011]])/Table55202469298104[[#This Row],[Persons 2011]],"..")</f>
        <v>8.25</v>
      </c>
      <c r="I35" s="1250"/>
      <c r="J35" s="1250"/>
    </row>
    <row r="36" spans="2:10" s="329" customFormat="1">
      <c r="B36" s="928" t="s">
        <v>74</v>
      </c>
      <c r="C36" s="287">
        <v>15</v>
      </c>
      <c r="D36" s="287">
        <v>21</v>
      </c>
      <c r="E36" s="287">
        <v>37</v>
      </c>
      <c r="F36" s="288">
        <f>(Table55202469298104[[#This Row],[Persons 2016]]/$C$17)</f>
        <v>3.1924072476272651E-2</v>
      </c>
      <c r="G36" s="908">
        <v>21</v>
      </c>
      <c r="H36" s="929">
        <f>IFERROR((Table55202469298104[[#This Row],[Persons 2016]]-Table55202469298104[[#This Row],[Persons 2011]])/Table55202469298104[[#This Row],[Persons 2011]],"..")</f>
        <v>0.76190476190476186</v>
      </c>
      <c r="I36" s="1250"/>
      <c r="J36" s="1250"/>
    </row>
    <row r="37" spans="2:10" s="329" customFormat="1">
      <c r="B37" s="930" t="s">
        <v>79</v>
      </c>
      <c r="C37" s="287">
        <v>18</v>
      </c>
      <c r="D37" s="287">
        <v>14</v>
      </c>
      <c r="E37" s="287">
        <v>30</v>
      </c>
      <c r="F37" s="288">
        <f>(Table55202469298104[[#This Row],[Persons 2016]]/$C$17)</f>
        <v>2.5884383088869714E-2</v>
      </c>
      <c r="G37" s="908">
        <v>28</v>
      </c>
      <c r="H37" s="929">
        <f>IFERROR((Table55202469298104[[#This Row],[Persons 2016]]-Table55202469298104[[#This Row],[Persons 2011]])/Table55202469298104[[#This Row],[Persons 2011]],"..")</f>
        <v>7.1428571428571425E-2</v>
      </c>
      <c r="I37" s="1250"/>
      <c r="J37" s="1250"/>
    </row>
    <row r="38" spans="2:10" s="329" customFormat="1">
      <c r="B38" s="928" t="s">
        <v>141</v>
      </c>
      <c r="C38" s="287">
        <v>14</v>
      </c>
      <c r="D38" s="287">
        <v>12</v>
      </c>
      <c r="E38" s="287">
        <v>29</v>
      </c>
      <c r="F38" s="288">
        <f>(Table55202469298104[[#This Row],[Persons 2016]]/$C$17)</f>
        <v>2.5021570319240724E-2</v>
      </c>
      <c r="G38" s="908">
        <v>9</v>
      </c>
      <c r="H38" s="929">
        <f>IFERROR((Table55202469298104[[#This Row],[Persons 2016]]-Table55202469298104[[#This Row],[Persons 2011]])/Table55202469298104[[#This Row],[Persons 2011]],"..")</f>
        <v>2.2222222222222223</v>
      </c>
      <c r="I38" s="1250"/>
      <c r="J38" s="1250"/>
    </row>
    <row r="39" spans="2:10">
      <c r="B39" s="930" t="s">
        <v>78</v>
      </c>
      <c r="C39" s="287">
        <v>17</v>
      </c>
      <c r="D39" s="287">
        <v>8</v>
      </c>
      <c r="E39" s="287">
        <v>25</v>
      </c>
      <c r="F39" s="288">
        <f>(Table55202469298104[[#This Row],[Persons 2016]]/$C$17)</f>
        <v>2.1570319240724764E-2</v>
      </c>
      <c r="G39" s="908">
        <v>10</v>
      </c>
      <c r="H39" s="929">
        <f>IFERROR((Table55202469298104[[#This Row],[Persons 2016]]-Table55202469298104[[#This Row],[Persons 2011]])/Table55202469298104[[#This Row],[Persons 2011]],"..")</f>
        <v>1.5</v>
      </c>
      <c r="I39" s="1241"/>
      <c r="J39" s="1241"/>
    </row>
    <row r="40" spans="2:10">
      <c r="B40" s="930" t="s">
        <v>77</v>
      </c>
      <c r="C40" s="287">
        <v>14</v>
      </c>
      <c r="D40" s="287">
        <v>10</v>
      </c>
      <c r="E40" s="287">
        <v>25</v>
      </c>
      <c r="F40" s="288">
        <f>(Table55202469298104[[#This Row],[Persons 2016]]/$C$17)</f>
        <v>2.1570319240724764E-2</v>
      </c>
      <c r="G40" s="908">
        <v>38</v>
      </c>
      <c r="H40" s="929">
        <f>IFERROR((Table55202469298104[[#This Row],[Persons 2016]]-Table55202469298104[[#This Row],[Persons 2011]])/Table55202469298104[[#This Row],[Persons 2011]],"..")</f>
        <v>-0.34210526315789475</v>
      </c>
      <c r="I40" s="1241"/>
      <c r="J40" s="1241"/>
    </row>
    <row r="41" spans="2:10">
      <c r="B41" s="928" t="s">
        <v>131</v>
      </c>
      <c r="C41" s="287">
        <v>12</v>
      </c>
      <c r="D41" s="287">
        <v>9</v>
      </c>
      <c r="E41" s="287">
        <v>25</v>
      </c>
      <c r="F41" s="288">
        <f>(Table55202469298104[[#This Row],[Persons 2016]]/$C$17)</f>
        <v>2.1570319240724764E-2</v>
      </c>
      <c r="G41" s="908">
        <v>22</v>
      </c>
      <c r="H41" s="929">
        <f>IFERROR((Table55202469298104[[#This Row],[Persons 2016]]-Table55202469298104[[#This Row],[Persons 2011]])/Table55202469298104[[#This Row],[Persons 2011]],"..")</f>
        <v>0.13636363636363635</v>
      </c>
      <c r="I41" s="1241"/>
      <c r="J41" s="1241"/>
    </row>
    <row r="42" spans="2:10">
      <c r="B42" s="930" t="s">
        <v>80</v>
      </c>
      <c r="C42" s="287">
        <v>9</v>
      </c>
      <c r="D42" s="287">
        <v>8</v>
      </c>
      <c r="E42" s="287">
        <v>24</v>
      </c>
      <c r="F42" s="288">
        <f>(Table55202469298104[[#This Row],[Persons 2016]]/$C$17)</f>
        <v>2.0707506471095771E-2</v>
      </c>
      <c r="G42" s="908">
        <v>28</v>
      </c>
      <c r="H42" s="929">
        <f>IFERROR((Table55202469298104[[#This Row],[Persons 2016]]-Table55202469298104[[#This Row],[Persons 2011]])/Table55202469298104[[#This Row],[Persons 2011]],"..")</f>
        <v>-0.14285714285714285</v>
      </c>
      <c r="I42" s="1241"/>
      <c r="J42" s="1241"/>
    </row>
    <row r="43" spans="2:10">
      <c r="B43" s="930" t="s">
        <v>86</v>
      </c>
      <c r="C43" s="287">
        <v>4</v>
      </c>
      <c r="D43" s="287">
        <v>17</v>
      </c>
      <c r="E43" s="287">
        <v>20</v>
      </c>
      <c r="F43" s="288">
        <f>(Table55202469298104[[#This Row],[Persons 2016]]/$C$17)</f>
        <v>1.7256255392579811E-2</v>
      </c>
      <c r="G43" s="908">
        <v>14</v>
      </c>
      <c r="H43" s="929">
        <f>IFERROR((Table55202469298104[[#This Row],[Persons 2016]]-Table55202469298104[[#This Row],[Persons 2011]])/Table55202469298104[[#This Row],[Persons 2011]],"..")</f>
        <v>0.42857142857142855</v>
      </c>
      <c r="I43" s="1241"/>
      <c r="J43" s="1241"/>
    </row>
    <row r="44" spans="2:10">
      <c r="B44" s="930" t="s">
        <v>82</v>
      </c>
      <c r="C44" s="287">
        <v>7</v>
      </c>
      <c r="D44" s="287">
        <v>9</v>
      </c>
      <c r="E44" s="287">
        <v>19</v>
      </c>
      <c r="F44" s="288">
        <f>(Table55202469298104[[#This Row],[Persons 2016]]/$C$17)</f>
        <v>1.6393442622950821E-2</v>
      </c>
      <c r="G44" s="908">
        <v>13</v>
      </c>
      <c r="H44" s="929">
        <f>IFERROR((Table55202469298104[[#This Row],[Persons 2016]]-Table55202469298104[[#This Row],[Persons 2011]])/Table55202469298104[[#This Row],[Persons 2011]],"..")</f>
        <v>0.46153846153846156</v>
      </c>
      <c r="I44" s="1241"/>
      <c r="J44" s="1241"/>
    </row>
    <row r="45" spans="2:10">
      <c r="B45" s="930" t="s">
        <v>90</v>
      </c>
      <c r="C45" s="287">
        <v>11</v>
      </c>
      <c r="D45" s="287">
        <v>10</v>
      </c>
      <c r="E45" s="287">
        <v>19</v>
      </c>
      <c r="F45" s="288">
        <f>(Table55202469298104[[#This Row],[Persons 2016]]/$C$17)</f>
        <v>1.6393442622950821E-2</v>
      </c>
      <c r="G45" s="908">
        <v>14</v>
      </c>
      <c r="H45" s="929">
        <f>IFERROR((Table55202469298104[[#This Row],[Persons 2016]]-Table55202469298104[[#This Row],[Persons 2011]])/Table55202469298104[[#This Row],[Persons 2011]],"..")</f>
        <v>0.35714285714285715</v>
      </c>
      <c r="I45" s="1241"/>
      <c r="J45" s="1241"/>
    </row>
    <row r="46" spans="2:10">
      <c r="B46" s="930" t="s">
        <v>81</v>
      </c>
      <c r="C46" s="287">
        <v>9</v>
      </c>
      <c r="D46" s="287">
        <v>7</v>
      </c>
      <c r="E46" s="287">
        <v>18</v>
      </c>
      <c r="F46" s="288">
        <f>(Table55202469298104[[#This Row],[Persons 2016]]/$C$17)</f>
        <v>1.5530629853321829E-2</v>
      </c>
      <c r="G46" s="908">
        <v>7</v>
      </c>
      <c r="H46" s="929">
        <f>IFERROR((Table55202469298104[[#This Row],[Persons 2016]]-Table55202469298104[[#This Row],[Persons 2011]])/Table55202469298104[[#This Row],[Persons 2011]],"..")</f>
        <v>1.5714285714285714</v>
      </c>
      <c r="I46" s="1241"/>
      <c r="J46" s="1241"/>
    </row>
    <row r="47" spans="2:10">
      <c r="B47" s="930" t="s">
        <v>84</v>
      </c>
      <c r="C47" s="287">
        <v>6</v>
      </c>
      <c r="D47" s="287">
        <v>7</v>
      </c>
      <c r="E47" s="287">
        <v>16</v>
      </c>
      <c r="F47" s="288">
        <f>(Table55202469298104[[#This Row],[Persons 2016]]/$C$17)</f>
        <v>1.3805004314063849E-2</v>
      </c>
      <c r="G47" s="908">
        <v>9</v>
      </c>
      <c r="H47" s="929">
        <f>IFERROR((Table55202469298104[[#This Row],[Persons 2016]]-Table55202469298104[[#This Row],[Persons 2011]])/Table55202469298104[[#This Row],[Persons 2011]],"..")</f>
        <v>0.77777777777777779</v>
      </c>
      <c r="I47" s="1241"/>
      <c r="J47" s="1241"/>
    </row>
    <row r="48" spans="2:10">
      <c r="B48" s="930" t="s">
        <v>326</v>
      </c>
      <c r="C48" s="287">
        <v>12</v>
      </c>
      <c r="D48" s="287">
        <v>0</v>
      </c>
      <c r="E48" s="287">
        <v>15</v>
      </c>
      <c r="F48" s="288">
        <f>(Table55202469298104[[#This Row],[Persons 2016]]/$C$17)</f>
        <v>1.2942191544434857E-2</v>
      </c>
      <c r="G48" s="908">
        <v>16</v>
      </c>
      <c r="H48" s="929">
        <f>IFERROR((Table55202469298104[[#This Row],[Persons 2016]]-Table55202469298104[[#This Row],[Persons 2011]])/Table55202469298104[[#This Row],[Persons 2011]],"..")</f>
        <v>-6.25E-2</v>
      </c>
      <c r="I48" s="1241"/>
      <c r="J48" s="1241"/>
    </row>
    <row r="49" spans="2:10">
      <c r="B49" s="930" t="s">
        <v>83</v>
      </c>
      <c r="C49" s="287">
        <v>7</v>
      </c>
      <c r="D49" s="287">
        <v>8</v>
      </c>
      <c r="E49" s="287">
        <v>14</v>
      </c>
      <c r="F49" s="288">
        <f>(Table55202469298104[[#This Row],[Persons 2016]]/$C$17)</f>
        <v>1.2079378774805867E-2</v>
      </c>
      <c r="G49" s="908">
        <v>3</v>
      </c>
      <c r="H49" s="929">
        <f>IFERROR((Table55202469298104[[#This Row],[Persons 2016]]-Table55202469298104[[#This Row],[Persons 2011]])/Table55202469298104[[#This Row],[Persons 2011]],"..")</f>
        <v>3.6666666666666665</v>
      </c>
      <c r="I49" s="1241"/>
      <c r="J49" s="1241"/>
    </row>
    <row r="50" spans="2:10">
      <c r="B50" s="930" t="s">
        <v>129</v>
      </c>
      <c r="C50" s="287">
        <v>6</v>
      </c>
      <c r="D50" s="287">
        <v>3</v>
      </c>
      <c r="E50" s="287">
        <v>12</v>
      </c>
      <c r="F50" s="288">
        <f>(Table55202469298104[[#This Row],[Persons 2016]]/$C$17)</f>
        <v>1.0353753235547885E-2</v>
      </c>
      <c r="G50" s="931">
        <v>0</v>
      </c>
      <c r="H50" s="929" t="str">
        <f>IFERROR((Table55202469298104[[#This Row],[Persons 2016]]-Table55202469298104[[#This Row],[Persons 2011]])/Table55202469298104[[#This Row],[Persons 2011]],"..")</f>
        <v>..</v>
      </c>
      <c r="I50" s="1241"/>
      <c r="J50" s="1241"/>
    </row>
    <row r="51" spans="2:10">
      <c r="B51" s="928" t="s">
        <v>369</v>
      </c>
      <c r="C51" s="287">
        <f>C52-SUM(C31:C50)</f>
        <v>80</v>
      </c>
      <c r="D51" s="287">
        <f t="shared" ref="D51:E51" si="1">D52-SUM(D31:D50)</f>
        <v>101</v>
      </c>
      <c r="E51" s="287">
        <f t="shared" si="1"/>
        <v>163</v>
      </c>
      <c r="F51" s="656">
        <f>(Table55202469298104[[#This Row],[Persons 2016]]/$C$17)</f>
        <v>0.14063848144952545</v>
      </c>
      <c r="G51" s="932">
        <f>G52-SUM(G31:G50)</f>
        <v>165</v>
      </c>
      <c r="H51" s="933">
        <f>IFERROR((Table55202469298104[[#This Row],[Persons 2016]]-Table55202469298104[[#This Row],[Persons 2011]])/Table55202469298104[[#This Row],[Persons 2011]],"..")</f>
        <v>-1.2121212121212121E-2</v>
      </c>
      <c r="I51" s="1241"/>
      <c r="J51" s="1241"/>
    </row>
    <row r="52" spans="2:10">
      <c r="B52" s="658" t="s">
        <v>21</v>
      </c>
      <c r="C52" s="659">
        <v>561</v>
      </c>
      <c r="D52" s="659">
        <v>592</v>
      </c>
      <c r="E52" s="660">
        <v>1159</v>
      </c>
      <c r="F52" s="661">
        <f>(Table55202469298104[[#This Row],[Persons 2016]]/$C$17)</f>
        <v>1</v>
      </c>
      <c r="G52" s="662">
        <f>E17</f>
        <v>988</v>
      </c>
      <c r="H52" s="663">
        <f>IFERROR((Table55202469298104[[#This Row],[Persons 2016]]-Table55202469298104[[#This Row],[Persons 2011]])/Table55202469298104[[#This Row],[Persons 2011]],"..")</f>
        <v>0.17307692307692307</v>
      </c>
      <c r="I52" s="1242"/>
      <c r="J52" s="1242"/>
    </row>
    <row r="53" spans="2:10" s="329" customFormat="1">
      <c r="B53" s="349" t="s">
        <v>366</v>
      </c>
    </row>
    <row r="55" spans="2:10" ht="23.25">
      <c r="B55" s="127" t="s">
        <v>710</v>
      </c>
    </row>
    <row r="56" spans="2:10" ht="15.75">
      <c r="B56" s="138" t="s">
        <v>832</v>
      </c>
    </row>
    <row r="57" spans="2:10">
      <c r="B57" s="149" t="s">
        <v>871</v>
      </c>
    </row>
    <row r="58" spans="2:10">
      <c r="B58" s="266" t="s">
        <v>14</v>
      </c>
      <c r="C58" s="144" t="s">
        <v>23</v>
      </c>
      <c r="D58" s="144" t="s">
        <v>24</v>
      </c>
      <c r="E58" s="144" t="s">
        <v>25</v>
      </c>
      <c r="F58" s="144" t="s">
        <v>26</v>
      </c>
      <c r="G58" s="144" t="s">
        <v>27</v>
      </c>
      <c r="H58" s="421" t="s">
        <v>28</v>
      </c>
    </row>
    <row r="59" spans="2:10">
      <c r="B59" s="292" t="s">
        <v>76</v>
      </c>
      <c r="C59" s="155">
        <v>24</v>
      </c>
      <c r="D59" s="155">
        <v>29</v>
      </c>
      <c r="E59" s="155">
        <v>75</v>
      </c>
      <c r="F59" s="668">
        <v>62</v>
      </c>
      <c r="G59" s="155">
        <v>26</v>
      </c>
      <c r="H59" s="911">
        <v>217</v>
      </c>
    </row>
    <row r="60" spans="2:10">
      <c r="B60" s="912" t="s">
        <v>92</v>
      </c>
      <c r="C60" s="158">
        <v>6</v>
      </c>
      <c r="D60" s="158">
        <v>9</v>
      </c>
      <c r="E60" s="158">
        <v>25</v>
      </c>
      <c r="F60" s="671">
        <v>86</v>
      </c>
      <c r="G60" s="158">
        <v>39</v>
      </c>
      <c r="H60" s="913">
        <v>162</v>
      </c>
    </row>
    <row r="61" spans="2:10">
      <c r="B61" s="914" t="s">
        <v>73</v>
      </c>
      <c r="C61" s="155">
        <v>7</v>
      </c>
      <c r="D61" s="155">
        <v>5</v>
      </c>
      <c r="E61" s="155">
        <v>39</v>
      </c>
      <c r="F61" s="668">
        <v>77</v>
      </c>
      <c r="G61" s="155">
        <v>17</v>
      </c>
      <c r="H61" s="915">
        <v>155</v>
      </c>
    </row>
    <row r="62" spans="2:10">
      <c r="B62" s="294" t="s">
        <v>75</v>
      </c>
      <c r="C62" s="158">
        <v>14</v>
      </c>
      <c r="D62" s="158">
        <v>5</v>
      </c>
      <c r="E62" s="158">
        <v>65</v>
      </c>
      <c r="F62" s="671">
        <v>20</v>
      </c>
      <c r="G62" s="158">
        <v>0</v>
      </c>
      <c r="H62" s="913">
        <v>97</v>
      </c>
    </row>
    <row r="63" spans="2:10">
      <c r="B63" s="292" t="s">
        <v>140</v>
      </c>
      <c r="C63" s="155">
        <v>0</v>
      </c>
      <c r="D63" s="155">
        <v>6</v>
      </c>
      <c r="E63" s="155">
        <v>26</v>
      </c>
      <c r="F63" s="668">
        <v>3</v>
      </c>
      <c r="G63" s="155">
        <v>0</v>
      </c>
      <c r="H63" s="915">
        <v>37</v>
      </c>
    </row>
    <row r="64" spans="2:10">
      <c r="B64" s="912" t="s">
        <v>74</v>
      </c>
      <c r="C64" s="158">
        <v>8</v>
      </c>
      <c r="D64" s="158">
        <v>0</v>
      </c>
      <c r="E64" s="158">
        <v>18</v>
      </c>
      <c r="F64" s="671">
        <v>6</v>
      </c>
      <c r="G64" s="158">
        <v>4</v>
      </c>
      <c r="H64" s="913">
        <v>37</v>
      </c>
    </row>
    <row r="65" spans="2:8">
      <c r="B65" s="292" t="s">
        <v>79</v>
      </c>
      <c r="C65" s="155">
        <v>0</v>
      </c>
      <c r="D65" s="155">
        <v>6</v>
      </c>
      <c r="E65" s="155">
        <v>10</v>
      </c>
      <c r="F65" s="668">
        <v>8</v>
      </c>
      <c r="G65" s="155">
        <v>10</v>
      </c>
      <c r="H65" s="915">
        <v>30</v>
      </c>
    </row>
    <row r="66" spans="2:8">
      <c r="B66" s="912" t="s">
        <v>141</v>
      </c>
      <c r="C66" s="158">
        <v>0</v>
      </c>
      <c r="D66" s="158">
        <v>4</v>
      </c>
      <c r="E66" s="158">
        <v>19</v>
      </c>
      <c r="F66" s="671">
        <v>4</v>
      </c>
      <c r="G66" s="158">
        <v>0</v>
      </c>
      <c r="H66" s="913">
        <v>29</v>
      </c>
    </row>
    <row r="67" spans="2:8">
      <c r="B67" s="292" t="s">
        <v>131</v>
      </c>
      <c r="C67" s="155">
        <v>0</v>
      </c>
      <c r="D67" s="155">
        <v>0</v>
      </c>
      <c r="E67" s="155">
        <v>0</v>
      </c>
      <c r="F67" s="668">
        <v>8</v>
      </c>
      <c r="G67" s="155">
        <v>12</v>
      </c>
      <c r="H67" s="915">
        <v>25</v>
      </c>
    </row>
    <row r="68" spans="2:8">
      <c r="B68" s="294" t="s">
        <v>78</v>
      </c>
      <c r="C68" s="158">
        <v>0</v>
      </c>
      <c r="D68" s="158">
        <v>3</v>
      </c>
      <c r="E68" s="158">
        <v>4</v>
      </c>
      <c r="F68" s="671">
        <v>12</v>
      </c>
      <c r="G68" s="158">
        <v>6</v>
      </c>
      <c r="H68" s="913">
        <v>25</v>
      </c>
    </row>
    <row r="69" spans="2:8">
      <c r="B69" s="297" t="s">
        <v>29</v>
      </c>
      <c r="C69" s="141">
        <v>1758</v>
      </c>
      <c r="D69" s="141">
        <v>883</v>
      </c>
      <c r="E69" s="141">
        <v>1962</v>
      </c>
      <c r="F69" s="141">
        <v>1507</v>
      </c>
      <c r="G69" s="141">
        <v>470</v>
      </c>
      <c r="H69" s="278">
        <v>6578</v>
      </c>
    </row>
    <row r="70" spans="2:8">
      <c r="B70" s="298" t="s">
        <v>30</v>
      </c>
      <c r="C70" s="142">
        <v>22</v>
      </c>
      <c r="D70" s="142">
        <v>24</v>
      </c>
      <c r="E70" s="142">
        <v>109</v>
      </c>
      <c r="F70" s="142">
        <v>204</v>
      </c>
      <c r="G70" s="679">
        <v>85</v>
      </c>
      <c r="H70" s="280">
        <v>443</v>
      </c>
    </row>
    <row r="71" spans="2:8">
      <c r="B71" s="299" t="s">
        <v>31</v>
      </c>
      <c r="C71" s="282">
        <v>68</v>
      </c>
      <c r="D71" s="282">
        <v>68</v>
      </c>
      <c r="E71" s="282">
        <v>337</v>
      </c>
      <c r="F71" s="282">
        <v>179</v>
      </c>
      <c r="G71" s="282">
        <v>66</v>
      </c>
      <c r="H71" s="283">
        <v>710</v>
      </c>
    </row>
    <row r="73" spans="2:8" ht="23.25">
      <c r="B73" s="127" t="s">
        <v>711</v>
      </c>
    </row>
    <row r="74" spans="2:8" ht="15.75">
      <c r="B74" s="138" t="s">
        <v>833</v>
      </c>
    </row>
    <row r="75" spans="2:8">
      <c r="B75" s="149" t="s">
        <v>843</v>
      </c>
    </row>
    <row r="76" spans="2:8">
      <c r="B76" s="139" t="s">
        <v>14</v>
      </c>
      <c r="C76" s="144" t="s">
        <v>23</v>
      </c>
      <c r="D76" s="144" t="s">
        <v>24</v>
      </c>
      <c r="E76" s="144" t="s">
        <v>25</v>
      </c>
      <c r="F76" s="144" t="s">
        <v>26</v>
      </c>
      <c r="G76" s="144" t="s">
        <v>27</v>
      </c>
      <c r="H76" s="145" t="s">
        <v>28</v>
      </c>
    </row>
    <row r="77" spans="2:8">
      <c r="B77" s="934" t="str">
        <f t="shared" ref="B77:B86" si="2">B59</f>
        <v>Philippines</v>
      </c>
      <c r="C77" s="147">
        <f t="shared" ref="C77:C89" si="3">SUM(C59/H59)</f>
        <v>0.11059907834101383</v>
      </c>
      <c r="D77" s="147">
        <f t="shared" ref="D77:D89" si="4">SUM(D59/H59)</f>
        <v>0.13364055299539171</v>
      </c>
      <c r="E77" s="147">
        <f t="shared" ref="E77:E89" si="5">SUM(E59/H59)</f>
        <v>0.34562211981566821</v>
      </c>
      <c r="F77" s="147">
        <f t="shared" ref="F77:F89" si="6">SUM(F59/H59)</f>
        <v>0.2857142857142857</v>
      </c>
      <c r="G77" s="147">
        <f t="shared" ref="G77:G89" si="7">SUM(G59/H59)</f>
        <v>0.11981566820276497</v>
      </c>
      <c r="H77" s="65">
        <f t="shared" ref="H77:H89" si="8">H59</f>
        <v>217</v>
      </c>
    </row>
    <row r="78" spans="2:8">
      <c r="B78" s="169" t="str">
        <f t="shared" si="2"/>
        <v>England</v>
      </c>
      <c r="C78" s="130">
        <f t="shared" si="3"/>
        <v>3.7037037037037035E-2</v>
      </c>
      <c r="D78" s="130">
        <f t="shared" si="4"/>
        <v>5.5555555555555552E-2</v>
      </c>
      <c r="E78" s="130">
        <f t="shared" si="5"/>
        <v>0.15432098765432098</v>
      </c>
      <c r="F78" s="130">
        <f t="shared" si="6"/>
        <v>0.53086419753086422</v>
      </c>
      <c r="G78" s="130">
        <f t="shared" si="7"/>
        <v>0.24074074074074073</v>
      </c>
      <c r="H78" s="67">
        <f t="shared" si="8"/>
        <v>162</v>
      </c>
    </row>
    <row r="79" spans="2:8">
      <c r="B79" s="934" t="str">
        <f t="shared" si="2"/>
        <v>New Zealand</v>
      </c>
      <c r="C79" s="147">
        <f t="shared" si="3"/>
        <v>4.5161290322580643E-2</v>
      </c>
      <c r="D79" s="147">
        <f t="shared" si="4"/>
        <v>3.2258064516129031E-2</v>
      </c>
      <c r="E79" s="147">
        <f t="shared" si="5"/>
        <v>0.25161290322580643</v>
      </c>
      <c r="F79" s="147">
        <f t="shared" si="6"/>
        <v>0.49677419354838709</v>
      </c>
      <c r="G79" s="147">
        <f t="shared" si="7"/>
        <v>0.10967741935483871</v>
      </c>
      <c r="H79" s="68">
        <f t="shared" si="8"/>
        <v>155</v>
      </c>
    </row>
    <row r="80" spans="2:8">
      <c r="B80" s="169" t="str">
        <f t="shared" si="2"/>
        <v>India</v>
      </c>
      <c r="C80" s="130">
        <f t="shared" si="3"/>
        <v>0.14432989690721648</v>
      </c>
      <c r="D80" s="130">
        <f t="shared" si="4"/>
        <v>5.1546391752577317E-2</v>
      </c>
      <c r="E80" s="130">
        <f t="shared" si="5"/>
        <v>0.67010309278350511</v>
      </c>
      <c r="F80" s="130">
        <f t="shared" si="6"/>
        <v>0.20618556701030927</v>
      </c>
      <c r="G80" s="130">
        <f t="shared" si="7"/>
        <v>0</v>
      </c>
      <c r="H80" s="67">
        <f t="shared" si="8"/>
        <v>97</v>
      </c>
    </row>
    <row r="81" spans="2:8">
      <c r="B81" s="934" t="str">
        <f t="shared" si="2"/>
        <v>Nepal</v>
      </c>
      <c r="C81" s="147">
        <f t="shared" si="3"/>
        <v>0</v>
      </c>
      <c r="D81" s="147">
        <f t="shared" si="4"/>
        <v>0.16216216216216217</v>
      </c>
      <c r="E81" s="147">
        <f t="shared" si="5"/>
        <v>0.70270270270270274</v>
      </c>
      <c r="F81" s="147">
        <f t="shared" si="6"/>
        <v>8.1081081081081086E-2</v>
      </c>
      <c r="G81" s="147">
        <f t="shared" si="7"/>
        <v>0</v>
      </c>
      <c r="H81" s="68">
        <f t="shared" si="8"/>
        <v>37</v>
      </c>
    </row>
    <row r="82" spans="2:8">
      <c r="B82" s="169" t="str">
        <f t="shared" si="2"/>
        <v>United States of America</v>
      </c>
      <c r="C82" s="130">
        <f t="shared" si="3"/>
        <v>0.21621621621621623</v>
      </c>
      <c r="D82" s="130">
        <f t="shared" si="4"/>
        <v>0</v>
      </c>
      <c r="E82" s="130">
        <f t="shared" si="5"/>
        <v>0.48648648648648651</v>
      </c>
      <c r="F82" s="130">
        <f t="shared" si="6"/>
        <v>0.16216216216216217</v>
      </c>
      <c r="G82" s="130">
        <f t="shared" si="7"/>
        <v>0.10810810810810811</v>
      </c>
      <c r="H82" s="67">
        <f t="shared" si="8"/>
        <v>37</v>
      </c>
    </row>
    <row r="83" spans="2:8">
      <c r="B83" s="934" t="str">
        <f t="shared" si="2"/>
        <v>Germany</v>
      </c>
      <c r="C83" s="147">
        <f t="shared" si="3"/>
        <v>0</v>
      </c>
      <c r="D83" s="147">
        <f t="shared" si="4"/>
        <v>0.2</v>
      </c>
      <c r="E83" s="147">
        <f t="shared" si="5"/>
        <v>0.33333333333333331</v>
      </c>
      <c r="F83" s="147">
        <f t="shared" si="6"/>
        <v>0.26666666666666666</v>
      </c>
      <c r="G83" s="147">
        <f t="shared" si="7"/>
        <v>0.33333333333333331</v>
      </c>
      <c r="H83" s="68">
        <f t="shared" si="8"/>
        <v>30</v>
      </c>
    </row>
    <row r="84" spans="2:8">
      <c r="B84" s="169" t="str">
        <f t="shared" si="2"/>
        <v>China (excludes SARs and Taiwan)</v>
      </c>
      <c r="C84" s="130">
        <f t="shared" si="3"/>
        <v>0</v>
      </c>
      <c r="D84" s="130">
        <f t="shared" si="4"/>
        <v>0.13793103448275862</v>
      </c>
      <c r="E84" s="130">
        <f t="shared" si="5"/>
        <v>0.65517241379310343</v>
      </c>
      <c r="F84" s="130">
        <f t="shared" si="6"/>
        <v>0.13793103448275862</v>
      </c>
      <c r="G84" s="130">
        <f t="shared" si="7"/>
        <v>0</v>
      </c>
      <c r="H84" s="67">
        <f t="shared" si="8"/>
        <v>29</v>
      </c>
    </row>
    <row r="85" spans="2:8">
      <c r="B85" s="934" t="str">
        <f t="shared" si="2"/>
        <v>Scotland</v>
      </c>
      <c r="C85" s="147">
        <f t="shared" si="3"/>
        <v>0</v>
      </c>
      <c r="D85" s="147">
        <f t="shared" si="4"/>
        <v>0</v>
      </c>
      <c r="E85" s="147">
        <f t="shared" si="5"/>
        <v>0</v>
      </c>
      <c r="F85" s="147">
        <f t="shared" si="6"/>
        <v>0.32</v>
      </c>
      <c r="G85" s="147">
        <f t="shared" si="7"/>
        <v>0.48</v>
      </c>
      <c r="H85" s="68">
        <f t="shared" si="8"/>
        <v>25</v>
      </c>
    </row>
    <row r="86" spans="2:8">
      <c r="B86" s="169" t="str">
        <f t="shared" si="2"/>
        <v>South Africa</v>
      </c>
      <c r="C86" s="130">
        <f t="shared" si="3"/>
        <v>0</v>
      </c>
      <c r="D86" s="130">
        <f t="shared" si="4"/>
        <v>0.12</v>
      </c>
      <c r="E86" s="130">
        <f t="shared" si="5"/>
        <v>0.16</v>
      </c>
      <c r="F86" s="130">
        <f t="shared" si="6"/>
        <v>0.48</v>
      </c>
      <c r="G86" s="130">
        <f t="shared" si="7"/>
        <v>0.24</v>
      </c>
      <c r="H86" s="67">
        <f t="shared" si="8"/>
        <v>25</v>
      </c>
    </row>
    <row r="87" spans="2:8">
      <c r="B87" s="69" t="s">
        <v>29</v>
      </c>
      <c r="C87" s="70">
        <f t="shared" si="3"/>
        <v>0.26725448464578899</v>
      </c>
      <c r="D87" s="70">
        <f t="shared" si="4"/>
        <v>0.13423532988750381</v>
      </c>
      <c r="E87" s="70">
        <f t="shared" si="5"/>
        <v>0.29826695044086349</v>
      </c>
      <c r="F87" s="70">
        <f t="shared" si="6"/>
        <v>0.22909698996655517</v>
      </c>
      <c r="G87" s="70">
        <f t="shared" si="7"/>
        <v>7.1450288841593185E-2</v>
      </c>
      <c r="H87" s="71">
        <f t="shared" si="8"/>
        <v>6578</v>
      </c>
    </row>
    <row r="88" spans="2:8">
      <c r="B88" s="72" t="s">
        <v>30</v>
      </c>
      <c r="C88" s="73">
        <f t="shared" si="3"/>
        <v>4.9661399548532728E-2</v>
      </c>
      <c r="D88" s="73">
        <f t="shared" si="4"/>
        <v>5.4176072234762979E-2</v>
      </c>
      <c r="E88" s="73">
        <f t="shared" si="5"/>
        <v>0.24604966139954854</v>
      </c>
      <c r="F88" s="73">
        <f t="shared" si="6"/>
        <v>0.4604966139954853</v>
      </c>
      <c r="G88" s="73">
        <f t="shared" si="7"/>
        <v>0.19187358916478556</v>
      </c>
      <c r="H88" s="74">
        <f t="shared" si="8"/>
        <v>443</v>
      </c>
    </row>
    <row r="89" spans="2:8">
      <c r="B89" s="75" t="s">
        <v>31</v>
      </c>
      <c r="C89" s="76">
        <f t="shared" si="3"/>
        <v>9.5774647887323941E-2</v>
      </c>
      <c r="D89" s="76">
        <f t="shared" si="4"/>
        <v>9.5774647887323941E-2</v>
      </c>
      <c r="E89" s="76">
        <f t="shared" si="5"/>
        <v>0.47464788732394364</v>
      </c>
      <c r="F89" s="76">
        <f t="shared" si="6"/>
        <v>0.25211267605633803</v>
      </c>
      <c r="G89" s="76">
        <f t="shared" si="7"/>
        <v>9.295774647887324E-2</v>
      </c>
      <c r="H89" s="77">
        <f t="shared" si="8"/>
        <v>710</v>
      </c>
    </row>
    <row r="91" spans="2:8" ht="23.25">
      <c r="B91" s="127" t="s">
        <v>712</v>
      </c>
    </row>
    <row r="92" spans="2:8" ht="15.75">
      <c r="B92" s="150" t="s">
        <v>844</v>
      </c>
    </row>
    <row r="93" spans="2:8">
      <c r="B93" s="149" t="s">
        <v>887</v>
      </c>
    </row>
    <row r="94" spans="2:8">
      <c r="B94" s="151" t="s">
        <v>14</v>
      </c>
      <c r="C94" s="152" t="s">
        <v>32</v>
      </c>
      <c r="D94" s="152" t="s">
        <v>33</v>
      </c>
      <c r="E94" s="152" t="s">
        <v>34</v>
      </c>
      <c r="F94" s="152" t="s">
        <v>35</v>
      </c>
      <c r="G94" s="152">
        <v>2016</v>
      </c>
      <c r="H94" s="153" t="s">
        <v>28</v>
      </c>
    </row>
    <row r="95" spans="2:8" ht="10.5" customHeight="1">
      <c r="B95" s="154" t="s">
        <v>76</v>
      </c>
      <c r="C95" s="155">
        <v>23</v>
      </c>
      <c r="D95" s="155">
        <v>37</v>
      </c>
      <c r="E95" s="155">
        <v>24</v>
      </c>
      <c r="F95" s="156">
        <v>125</v>
      </c>
      <c r="G95" s="155">
        <v>0</v>
      </c>
      <c r="H95" s="157">
        <v>217</v>
      </c>
    </row>
    <row r="96" spans="2:8">
      <c r="B96" s="66" t="s">
        <v>92</v>
      </c>
      <c r="C96" s="158">
        <v>103</v>
      </c>
      <c r="D96" s="158">
        <v>6</v>
      </c>
      <c r="E96" s="158">
        <v>12</v>
      </c>
      <c r="F96" s="159">
        <v>28</v>
      </c>
      <c r="G96" s="158">
        <v>0</v>
      </c>
      <c r="H96" s="160">
        <v>162</v>
      </c>
    </row>
    <row r="97" spans="2:14">
      <c r="B97" s="63" t="s">
        <v>73</v>
      </c>
      <c r="C97" s="155">
        <v>52</v>
      </c>
      <c r="D97" s="155">
        <v>31</v>
      </c>
      <c r="E97" s="155">
        <v>17</v>
      </c>
      <c r="F97" s="156">
        <v>46</v>
      </c>
      <c r="G97" s="155">
        <v>0</v>
      </c>
      <c r="H97" s="161">
        <v>155</v>
      </c>
    </row>
    <row r="98" spans="2:14">
      <c r="B98" s="162" t="s">
        <v>75</v>
      </c>
      <c r="C98" s="158">
        <v>5</v>
      </c>
      <c r="D98" s="158">
        <v>4</v>
      </c>
      <c r="E98" s="158">
        <v>3</v>
      </c>
      <c r="F98" s="159">
        <v>82</v>
      </c>
      <c r="G98" s="158">
        <v>6</v>
      </c>
      <c r="H98" s="160">
        <v>97</v>
      </c>
    </row>
    <row r="99" spans="2:14">
      <c r="B99" s="154" t="s">
        <v>140</v>
      </c>
      <c r="C99" s="155">
        <v>0</v>
      </c>
      <c r="D99" s="155">
        <v>0</v>
      </c>
      <c r="E99" s="155">
        <v>0</v>
      </c>
      <c r="F99" s="156">
        <v>33</v>
      </c>
      <c r="G99" s="155">
        <v>0</v>
      </c>
      <c r="H99" s="161">
        <v>37</v>
      </c>
    </row>
    <row r="100" spans="2:14">
      <c r="B100" s="66" t="s">
        <v>74</v>
      </c>
      <c r="C100" s="158">
        <v>3</v>
      </c>
      <c r="D100" s="158">
        <v>5</v>
      </c>
      <c r="E100" s="158">
        <v>10</v>
      </c>
      <c r="F100" s="159">
        <v>18</v>
      </c>
      <c r="G100" s="158">
        <v>0</v>
      </c>
      <c r="H100" s="160">
        <v>37</v>
      </c>
    </row>
    <row r="101" spans="2:14">
      <c r="B101" s="63" t="s">
        <v>79</v>
      </c>
      <c r="C101" s="155">
        <v>15</v>
      </c>
      <c r="D101" s="155">
        <v>0</v>
      </c>
      <c r="E101" s="155">
        <v>3</v>
      </c>
      <c r="F101" s="156">
        <v>6</v>
      </c>
      <c r="G101" s="155">
        <v>0</v>
      </c>
      <c r="H101" s="161">
        <v>30</v>
      </c>
    </row>
    <row r="102" spans="2:14">
      <c r="B102" s="162" t="s">
        <v>141</v>
      </c>
      <c r="C102" s="158">
        <v>0</v>
      </c>
      <c r="D102" s="158">
        <v>0</v>
      </c>
      <c r="E102" s="158">
        <v>4</v>
      </c>
      <c r="F102" s="159">
        <v>4</v>
      </c>
      <c r="G102" s="158">
        <v>4</v>
      </c>
      <c r="H102" s="160">
        <v>29</v>
      </c>
    </row>
    <row r="103" spans="2:14">
      <c r="B103" s="63" t="s">
        <v>131</v>
      </c>
      <c r="C103" s="155">
        <v>20</v>
      </c>
      <c r="D103" s="155">
        <v>0</v>
      </c>
      <c r="E103" s="155">
        <v>3</v>
      </c>
      <c r="F103" s="156">
        <v>0</v>
      </c>
      <c r="G103" s="155">
        <v>0</v>
      </c>
      <c r="H103" s="161">
        <v>25</v>
      </c>
    </row>
    <row r="104" spans="2:14">
      <c r="B104" s="162" t="s">
        <v>78</v>
      </c>
      <c r="C104" s="158">
        <v>3</v>
      </c>
      <c r="D104" s="158">
        <v>0</v>
      </c>
      <c r="E104" s="158">
        <v>4</v>
      </c>
      <c r="F104" s="159">
        <v>11</v>
      </c>
      <c r="G104" s="158">
        <v>5</v>
      </c>
      <c r="H104" s="160">
        <v>25</v>
      </c>
    </row>
    <row r="105" spans="2:14">
      <c r="B105" s="163" t="s">
        <v>30</v>
      </c>
      <c r="C105" s="163">
        <v>194</v>
      </c>
      <c r="D105" s="163">
        <v>43</v>
      </c>
      <c r="E105" s="163">
        <v>44</v>
      </c>
      <c r="F105" s="163">
        <v>135</v>
      </c>
      <c r="G105" s="164">
        <v>6</v>
      </c>
      <c r="H105" s="165">
        <f>C19</f>
        <v>443</v>
      </c>
    </row>
    <row r="106" spans="2:14">
      <c r="B106" s="166" t="s">
        <v>31</v>
      </c>
      <c r="C106" s="166">
        <v>111</v>
      </c>
      <c r="D106" s="166">
        <v>79</v>
      </c>
      <c r="E106" s="166">
        <v>87</v>
      </c>
      <c r="F106" s="166">
        <v>379</v>
      </c>
      <c r="G106" s="167">
        <v>21</v>
      </c>
      <c r="H106" s="168">
        <f>C20</f>
        <v>710</v>
      </c>
    </row>
    <row r="107" spans="2:14" ht="23.25">
      <c r="B107" s="127"/>
    </row>
    <row r="108" spans="2:14" ht="23.25">
      <c r="B108" s="127" t="s">
        <v>713</v>
      </c>
    </row>
    <row r="109" spans="2:14" ht="15.75">
      <c r="B109" s="150" t="s">
        <v>846</v>
      </c>
    </row>
    <row r="110" spans="2:14">
      <c r="B110" s="149" t="s">
        <v>845</v>
      </c>
      <c r="J110" s="169"/>
      <c r="K110" s="170"/>
      <c r="L110" s="170"/>
      <c r="M110" s="170"/>
      <c r="N110" s="170"/>
    </row>
    <row r="111" spans="2:14">
      <c r="B111" s="151" t="s">
        <v>14</v>
      </c>
      <c r="C111" s="152" t="s">
        <v>32</v>
      </c>
      <c r="D111" s="152" t="s">
        <v>33</v>
      </c>
      <c r="E111" s="152" t="s">
        <v>34</v>
      </c>
      <c r="F111" s="152" t="s">
        <v>35</v>
      </c>
      <c r="G111" s="152">
        <v>2016</v>
      </c>
      <c r="H111" s="153" t="s">
        <v>28</v>
      </c>
      <c r="J111" s="169"/>
      <c r="K111" s="170"/>
      <c r="L111" s="170"/>
      <c r="M111" s="170"/>
      <c r="N111" s="170"/>
    </row>
    <row r="112" spans="2:14">
      <c r="B112" s="63" t="str">
        <f t="shared" ref="B112:B121" si="9">B95</f>
        <v>Philippines</v>
      </c>
      <c r="C112" s="64">
        <f t="shared" ref="C112:C123" si="10">IFERROR(C95/H95,"-")</f>
        <v>0.10599078341013825</v>
      </c>
      <c r="D112" s="64">
        <f t="shared" ref="D112:D123" si="11">IFERROR(D95/H95,"-")</f>
        <v>0.17050691244239632</v>
      </c>
      <c r="E112" s="64">
        <f t="shared" ref="E112:E123" si="12">IFERROR(E95/H95,"-")</f>
        <v>0.11059907834101383</v>
      </c>
      <c r="F112" s="64">
        <f t="shared" ref="F112:F123" si="13">IFERROR(F95/H95,"-")</f>
        <v>0.57603686635944695</v>
      </c>
      <c r="G112" s="64">
        <f t="shared" ref="G112:G123" si="14">IFERROR(G95/H95,"-")</f>
        <v>0</v>
      </c>
      <c r="H112" s="78">
        <f t="shared" ref="H112:H123" si="15">H95</f>
        <v>217</v>
      </c>
      <c r="J112" s="169"/>
      <c r="K112" s="170"/>
      <c r="L112" s="170"/>
      <c r="M112" s="170"/>
      <c r="N112" s="170"/>
    </row>
    <row r="113" spans="2:20">
      <c r="B113" s="66" t="str">
        <f t="shared" si="9"/>
        <v>England</v>
      </c>
      <c r="C113" s="54">
        <f t="shared" si="10"/>
        <v>0.63580246913580252</v>
      </c>
      <c r="D113" s="54">
        <f t="shared" si="11"/>
        <v>3.7037037037037035E-2</v>
      </c>
      <c r="E113" s="54">
        <f t="shared" si="12"/>
        <v>7.407407407407407E-2</v>
      </c>
      <c r="F113" s="54">
        <f t="shared" si="13"/>
        <v>0.1728395061728395</v>
      </c>
      <c r="G113" s="54">
        <f t="shared" si="14"/>
        <v>0</v>
      </c>
      <c r="H113" s="79">
        <f t="shared" si="15"/>
        <v>162</v>
      </c>
      <c r="J113" s="169"/>
      <c r="K113" s="170"/>
      <c r="L113" s="170"/>
      <c r="M113" s="170"/>
      <c r="N113" s="170"/>
    </row>
    <row r="114" spans="2:20">
      <c r="B114" s="63" t="str">
        <f t="shared" si="9"/>
        <v>New Zealand</v>
      </c>
      <c r="C114" s="64">
        <f t="shared" si="10"/>
        <v>0.33548387096774196</v>
      </c>
      <c r="D114" s="64">
        <f t="shared" si="11"/>
        <v>0.2</v>
      </c>
      <c r="E114" s="64">
        <f t="shared" si="12"/>
        <v>0.10967741935483871</v>
      </c>
      <c r="F114" s="64">
        <f t="shared" si="13"/>
        <v>0.29677419354838708</v>
      </c>
      <c r="G114" s="64">
        <f t="shared" si="14"/>
        <v>0</v>
      </c>
      <c r="H114" s="80">
        <f t="shared" si="15"/>
        <v>155</v>
      </c>
      <c r="J114" s="169"/>
      <c r="K114" s="170"/>
      <c r="L114" s="170"/>
      <c r="M114" s="170"/>
      <c r="N114" s="170"/>
    </row>
    <row r="115" spans="2:20">
      <c r="B115" s="66" t="str">
        <f t="shared" si="9"/>
        <v>India</v>
      </c>
      <c r="C115" s="54">
        <f t="shared" si="10"/>
        <v>5.1546391752577317E-2</v>
      </c>
      <c r="D115" s="54">
        <f t="shared" si="11"/>
        <v>4.1237113402061855E-2</v>
      </c>
      <c r="E115" s="54">
        <f t="shared" si="12"/>
        <v>3.0927835051546393E-2</v>
      </c>
      <c r="F115" s="54">
        <f t="shared" si="13"/>
        <v>0.84536082474226804</v>
      </c>
      <c r="G115" s="54">
        <f t="shared" si="14"/>
        <v>6.1855670103092786E-2</v>
      </c>
      <c r="H115" s="79">
        <f t="shared" si="15"/>
        <v>97</v>
      </c>
      <c r="J115" s="169"/>
      <c r="K115" s="170"/>
      <c r="L115" s="170"/>
      <c r="M115" s="170"/>
      <c r="N115" s="170"/>
    </row>
    <row r="116" spans="2:20">
      <c r="B116" s="63" t="str">
        <f t="shared" si="9"/>
        <v>Nepal</v>
      </c>
      <c r="C116" s="64">
        <f t="shared" si="10"/>
        <v>0</v>
      </c>
      <c r="D116" s="64">
        <f t="shared" si="11"/>
        <v>0</v>
      </c>
      <c r="E116" s="64">
        <f t="shared" si="12"/>
        <v>0</v>
      </c>
      <c r="F116" s="64">
        <f t="shared" si="13"/>
        <v>0.89189189189189189</v>
      </c>
      <c r="G116" s="64">
        <f t="shared" si="14"/>
        <v>0</v>
      </c>
      <c r="H116" s="80">
        <f t="shared" si="15"/>
        <v>37</v>
      </c>
      <c r="J116" s="169"/>
      <c r="K116" s="170"/>
      <c r="L116" s="170"/>
      <c r="M116" s="170"/>
      <c r="N116" s="170"/>
    </row>
    <row r="117" spans="2:20">
      <c r="B117" s="66" t="str">
        <f t="shared" si="9"/>
        <v>United States of America</v>
      </c>
      <c r="C117" s="54">
        <f t="shared" si="10"/>
        <v>8.1081081081081086E-2</v>
      </c>
      <c r="D117" s="54">
        <f t="shared" si="11"/>
        <v>0.13513513513513514</v>
      </c>
      <c r="E117" s="54">
        <f t="shared" si="12"/>
        <v>0.27027027027027029</v>
      </c>
      <c r="F117" s="54">
        <f t="shared" si="13"/>
        <v>0.48648648648648651</v>
      </c>
      <c r="G117" s="54">
        <f t="shared" si="14"/>
        <v>0</v>
      </c>
      <c r="H117" s="79">
        <f t="shared" si="15"/>
        <v>37</v>
      </c>
      <c r="J117" s="169"/>
      <c r="K117" s="170"/>
      <c r="L117" s="170"/>
      <c r="M117" s="170"/>
      <c r="N117" s="170"/>
    </row>
    <row r="118" spans="2:20">
      <c r="B118" s="63" t="str">
        <f t="shared" si="9"/>
        <v>Germany</v>
      </c>
      <c r="C118" s="64">
        <f t="shared" si="10"/>
        <v>0.5</v>
      </c>
      <c r="D118" s="64">
        <f t="shared" si="11"/>
        <v>0</v>
      </c>
      <c r="E118" s="64">
        <f t="shared" si="12"/>
        <v>0.1</v>
      </c>
      <c r="F118" s="64">
        <f t="shared" si="13"/>
        <v>0.2</v>
      </c>
      <c r="G118" s="64">
        <f t="shared" si="14"/>
        <v>0</v>
      </c>
      <c r="H118" s="80">
        <f t="shared" si="15"/>
        <v>30</v>
      </c>
      <c r="O118" s="170"/>
      <c r="P118" s="170"/>
      <c r="Q118" s="170"/>
      <c r="R118" s="170"/>
      <c r="S118" s="170"/>
      <c r="T118" s="170"/>
    </row>
    <row r="119" spans="2:20">
      <c r="B119" s="66" t="str">
        <f t="shared" si="9"/>
        <v>China (excludes SARs and Taiwan)</v>
      </c>
      <c r="C119" s="54">
        <f t="shared" si="10"/>
        <v>0</v>
      </c>
      <c r="D119" s="54">
        <f t="shared" si="11"/>
        <v>0</v>
      </c>
      <c r="E119" s="54">
        <f t="shared" si="12"/>
        <v>0.13793103448275862</v>
      </c>
      <c r="F119" s="54">
        <f t="shared" si="13"/>
        <v>0.13793103448275862</v>
      </c>
      <c r="G119" s="54">
        <f t="shared" si="14"/>
        <v>0.13793103448275862</v>
      </c>
      <c r="H119" s="79">
        <f t="shared" si="15"/>
        <v>29</v>
      </c>
    </row>
    <row r="120" spans="2:20">
      <c r="B120" s="63" t="str">
        <f t="shared" si="9"/>
        <v>Scotland</v>
      </c>
      <c r="C120" s="64">
        <f t="shared" si="10"/>
        <v>0.8</v>
      </c>
      <c r="D120" s="64">
        <f t="shared" si="11"/>
        <v>0</v>
      </c>
      <c r="E120" s="64">
        <f t="shared" si="12"/>
        <v>0.12</v>
      </c>
      <c r="F120" s="64">
        <f t="shared" si="13"/>
        <v>0</v>
      </c>
      <c r="G120" s="64">
        <f t="shared" si="14"/>
        <v>0</v>
      </c>
      <c r="H120" s="80">
        <f t="shared" si="15"/>
        <v>25</v>
      </c>
    </row>
    <row r="121" spans="2:20">
      <c r="B121" s="81" t="str">
        <f t="shared" si="9"/>
        <v>South Africa</v>
      </c>
      <c r="C121" s="82">
        <f t="shared" si="10"/>
        <v>0.12</v>
      </c>
      <c r="D121" s="82">
        <f t="shared" si="11"/>
        <v>0</v>
      </c>
      <c r="E121" s="82">
        <f t="shared" si="12"/>
        <v>0.16</v>
      </c>
      <c r="F121" s="82">
        <f t="shared" si="13"/>
        <v>0.44</v>
      </c>
      <c r="G121" s="82">
        <f t="shared" si="14"/>
        <v>0.2</v>
      </c>
      <c r="H121" s="83">
        <f t="shared" si="15"/>
        <v>25</v>
      </c>
    </row>
    <row r="122" spans="2:20">
      <c r="B122" s="72" t="s">
        <v>30</v>
      </c>
      <c r="C122" s="73">
        <f t="shared" si="10"/>
        <v>0.43792325056433407</v>
      </c>
      <c r="D122" s="73">
        <f t="shared" si="11"/>
        <v>9.7065462753950338E-2</v>
      </c>
      <c r="E122" s="73">
        <f t="shared" si="12"/>
        <v>9.9322799097065456E-2</v>
      </c>
      <c r="F122" s="73">
        <f t="shared" si="13"/>
        <v>0.30474040632054178</v>
      </c>
      <c r="G122" s="73">
        <f t="shared" si="14"/>
        <v>1.3544018058690745E-2</v>
      </c>
      <c r="H122" s="171">
        <f t="shared" si="15"/>
        <v>443</v>
      </c>
    </row>
    <row r="123" spans="2:20">
      <c r="B123" s="75" t="s">
        <v>31</v>
      </c>
      <c r="C123" s="76">
        <f t="shared" si="10"/>
        <v>0.1563380281690141</v>
      </c>
      <c r="D123" s="76">
        <f t="shared" si="11"/>
        <v>0.11126760563380282</v>
      </c>
      <c r="E123" s="76">
        <f t="shared" si="12"/>
        <v>0.12253521126760564</v>
      </c>
      <c r="F123" s="76">
        <f t="shared" si="13"/>
        <v>0.53380281690140841</v>
      </c>
      <c r="G123" s="76">
        <f t="shared" si="14"/>
        <v>2.9577464788732393E-2</v>
      </c>
      <c r="H123" s="172">
        <f t="shared" si="15"/>
        <v>710</v>
      </c>
    </row>
    <row r="125" spans="2:20" ht="23.25">
      <c r="B125" s="127" t="s">
        <v>714</v>
      </c>
    </row>
    <row r="126" spans="2:20" ht="15.75">
      <c r="B126" s="150" t="s">
        <v>330</v>
      </c>
    </row>
    <row r="127" spans="2:20" ht="25.5">
      <c r="B127" s="173" t="s">
        <v>36</v>
      </c>
      <c r="C127" s="173" t="s">
        <v>37</v>
      </c>
      <c r="D127" s="173" t="s">
        <v>38</v>
      </c>
      <c r="E127" s="173" t="s">
        <v>6</v>
      </c>
      <c r="F127" s="173" t="s">
        <v>39</v>
      </c>
      <c r="G127" s="173" t="s">
        <v>7</v>
      </c>
      <c r="H127" s="173" t="s">
        <v>40</v>
      </c>
    </row>
    <row r="128" spans="2:20">
      <c r="B128" s="155" t="s">
        <v>95</v>
      </c>
      <c r="C128" s="103">
        <v>322</v>
      </c>
      <c r="D128" s="103">
        <v>367</v>
      </c>
      <c r="E128" s="103">
        <v>688</v>
      </c>
      <c r="F128" s="224">
        <f>IFERROR(Table792226894100106[[#This Row],[Persons]]/$C$23,"..")</f>
        <v>0.49002849002849003</v>
      </c>
      <c r="G128" s="103">
        <v>558</v>
      </c>
      <c r="H128" s="64">
        <f t="shared" ref="H128:H148" si="16">IFERROR(((E128-G128)/G128),"..")</f>
        <v>0.23297491039426524</v>
      </c>
    </row>
    <row r="129" spans="2:8">
      <c r="B129" s="158" t="s">
        <v>52</v>
      </c>
      <c r="C129" s="106">
        <v>44</v>
      </c>
      <c r="D129" s="106">
        <v>63</v>
      </c>
      <c r="E129" s="106">
        <v>107</v>
      </c>
      <c r="F129" s="226">
        <f>IFERROR(Table792226894100106[[#This Row],[Persons]]/$C$23,"..")</f>
        <v>7.6210826210826213E-2</v>
      </c>
      <c r="G129" s="106">
        <v>78</v>
      </c>
      <c r="H129" s="54">
        <f t="shared" si="16"/>
        <v>0.37179487179487181</v>
      </c>
    </row>
    <row r="130" spans="2:8">
      <c r="B130" s="155" t="s">
        <v>54</v>
      </c>
      <c r="C130" s="103">
        <v>23</v>
      </c>
      <c r="D130" s="103">
        <v>42</v>
      </c>
      <c r="E130" s="103">
        <v>67</v>
      </c>
      <c r="F130" s="224">
        <f>IFERROR(Table792226894100106[[#This Row],[Persons]]/$C$23,"..")</f>
        <v>4.7720797720797722E-2</v>
      </c>
      <c r="G130" s="103">
        <v>72</v>
      </c>
      <c r="H130" s="64">
        <f t="shared" si="16"/>
        <v>-6.9444444444444448E-2</v>
      </c>
    </row>
    <row r="131" spans="2:8">
      <c r="B131" s="158" t="s">
        <v>47</v>
      </c>
      <c r="C131" s="106">
        <v>28</v>
      </c>
      <c r="D131" s="106">
        <v>28</v>
      </c>
      <c r="E131" s="106">
        <v>58</v>
      </c>
      <c r="F131" s="226">
        <f>IFERROR(Table792226894100106[[#This Row],[Persons]]/$C$23,"..")</f>
        <v>4.1310541310541307E-2</v>
      </c>
      <c r="G131" s="106">
        <v>27</v>
      </c>
      <c r="H131" s="54">
        <f t="shared" si="16"/>
        <v>1.1481481481481481</v>
      </c>
    </row>
    <row r="132" spans="2:8">
      <c r="B132" s="155" t="s">
        <v>148</v>
      </c>
      <c r="C132" s="103">
        <v>21</v>
      </c>
      <c r="D132" s="103">
        <v>16</v>
      </c>
      <c r="E132" s="103">
        <v>40</v>
      </c>
      <c r="F132" s="224">
        <f>IFERROR(Table792226894100106[[#This Row],[Persons]]/$C$23,"..")</f>
        <v>2.8490028490028491E-2</v>
      </c>
      <c r="G132" s="103" t="s">
        <v>94</v>
      </c>
      <c r="H132" s="64" t="str">
        <f t="shared" si="16"/>
        <v>..</v>
      </c>
    </row>
    <row r="133" spans="2:8">
      <c r="B133" s="158" t="s">
        <v>53</v>
      </c>
      <c r="C133" s="106">
        <v>17</v>
      </c>
      <c r="D133" s="106">
        <v>17</v>
      </c>
      <c r="E133" s="106">
        <v>35</v>
      </c>
      <c r="F133" s="226">
        <f>IFERROR(Table792226894100106[[#This Row],[Persons]]/$C$23,"..")</f>
        <v>2.4928774928774929E-2</v>
      </c>
      <c r="G133" s="106">
        <v>12</v>
      </c>
      <c r="H133" s="54">
        <f t="shared" si="16"/>
        <v>1.9166666666666667</v>
      </c>
    </row>
    <row r="134" spans="2:8">
      <c r="B134" s="155" t="s">
        <v>100</v>
      </c>
      <c r="C134" s="103">
        <v>11</v>
      </c>
      <c r="D134" s="103">
        <v>9</v>
      </c>
      <c r="E134" s="103">
        <v>24</v>
      </c>
      <c r="F134" s="224">
        <f>IFERROR(Table792226894100106[[#This Row],[Persons]]/$C$23,"..")</f>
        <v>1.7094017094017096E-2</v>
      </c>
      <c r="G134" s="103" t="s">
        <v>94</v>
      </c>
      <c r="H134" s="64" t="str">
        <f t="shared" si="16"/>
        <v>..</v>
      </c>
    </row>
    <row r="135" spans="2:8">
      <c r="B135" s="158" t="s">
        <v>97</v>
      </c>
      <c r="C135" s="106">
        <v>9</v>
      </c>
      <c r="D135" s="106">
        <v>14</v>
      </c>
      <c r="E135" s="106">
        <v>22</v>
      </c>
      <c r="F135" s="226">
        <f>IFERROR(Table792226894100106[[#This Row],[Persons]]/$C$23,"..")</f>
        <v>1.5669515669515671E-2</v>
      </c>
      <c r="G135" s="106">
        <v>29</v>
      </c>
      <c r="H135" s="54">
        <f t="shared" si="16"/>
        <v>-0.2413793103448276</v>
      </c>
    </row>
    <row r="136" spans="2:8">
      <c r="B136" s="158" t="s">
        <v>190</v>
      </c>
      <c r="C136" s="106">
        <v>11</v>
      </c>
      <c r="D136" s="106">
        <v>8</v>
      </c>
      <c r="E136" s="106">
        <v>22</v>
      </c>
      <c r="F136" s="226">
        <f>IFERROR(Table792226894100106[[#This Row],[Persons]]/$C$23,"..")</f>
        <v>1.5669515669515671E-2</v>
      </c>
      <c r="G136" s="106">
        <v>17</v>
      </c>
      <c r="H136" s="54">
        <f t="shared" si="16"/>
        <v>0.29411764705882354</v>
      </c>
    </row>
    <row r="137" spans="2:8">
      <c r="B137" s="158" t="s">
        <v>110</v>
      </c>
      <c r="C137" s="106">
        <v>10</v>
      </c>
      <c r="D137" s="106">
        <v>5</v>
      </c>
      <c r="E137" s="106">
        <v>21</v>
      </c>
      <c r="F137" s="226">
        <f>IFERROR(Table792226894100106[[#This Row],[Persons]]/$C$23,"..")</f>
        <v>1.4957264957264958E-2</v>
      </c>
      <c r="G137" s="106">
        <v>15</v>
      </c>
      <c r="H137" s="54">
        <f t="shared" si="16"/>
        <v>0.4</v>
      </c>
    </row>
    <row r="138" spans="2:8">
      <c r="B138" s="158" t="s">
        <v>99</v>
      </c>
      <c r="C138" s="106">
        <v>13</v>
      </c>
      <c r="D138" s="106">
        <v>13</v>
      </c>
      <c r="E138" s="106">
        <v>21</v>
      </c>
      <c r="F138" s="226">
        <f>IFERROR(Table792226894100106[[#This Row],[Persons]]/$C$23,"..")</f>
        <v>1.4957264957264958E-2</v>
      </c>
      <c r="G138" s="106" t="s">
        <v>94</v>
      </c>
      <c r="H138" s="54" t="str">
        <f t="shared" si="16"/>
        <v>..</v>
      </c>
    </row>
    <row r="139" spans="2:8">
      <c r="B139" s="158" t="s">
        <v>107</v>
      </c>
      <c r="C139" s="106">
        <v>0</v>
      </c>
      <c r="D139" s="106">
        <v>18</v>
      </c>
      <c r="E139" s="106">
        <v>20</v>
      </c>
      <c r="F139" s="226">
        <f>IFERROR(Table792226894100106[[#This Row],[Persons]]/$C$23,"..")</f>
        <v>1.4245014245014245E-2</v>
      </c>
      <c r="G139" s="106">
        <v>12</v>
      </c>
      <c r="H139" s="54">
        <f t="shared" si="16"/>
        <v>0.66666666666666663</v>
      </c>
    </row>
    <row r="140" spans="2:8">
      <c r="B140" s="155" t="s">
        <v>96</v>
      </c>
      <c r="C140" s="103">
        <v>9</v>
      </c>
      <c r="D140" s="103">
        <v>7</v>
      </c>
      <c r="E140" s="103">
        <v>18</v>
      </c>
      <c r="F140" s="224">
        <f>IFERROR(Table792226894100106[[#This Row],[Persons]]/$C$23,"..")</f>
        <v>1.282051282051282E-2</v>
      </c>
      <c r="G140" s="103" t="s">
        <v>94</v>
      </c>
      <c r="H140" s="64" t="str">
        <f t="shared" si="16"/>
        <v>..</v>
      </c>
    </row>
    <row r="141" spans="2:8">
      <c r="B141" s="158" t="s">
        <v>105</v>
      </c>
      <c r="C141" s="106">
        <v>11</v>
      </c>
      <c r="D141" s="106">
        <v>3</v>
      </c>
      <c r="E141" s="106">
        <v>16</v>
      </c>
      <c r="F141" s="226">
        <f>IFERROR(Table792226894100106[[#This Row],[Persons]]/$C$23,"..")</f>
        <v>1.1396011396011397E-2</v>
      </c>
      <c r="G141" s="106">
        <v>14</v>
      </c>
      <c r="H141" s="54">
        <f t="shared" si="16"/>
        <v>0.14285714285714285</v>
      </c>
    </row>
    <row r="142" spans="2:8">
      <c r="B142" s="155" t="s">
        <v>147</v>
      </c>
      <c r="C142" s="103">
        <v>11</v>
      </c>
      <c r="D142" s="103">
        <v>3</v>
      </c>
      <c r="E142" s="103">
        <v>16</v>
      </c>
      <c r="F142" s="224">
        <f>IFERROR(Table792226894100106[[#This Row],[Persons]]/$C$23,"..")</f>
        <v>1.1396011396011397E-2</v>
      </c>
      <c r="G142" s="103" t="s">
        <v>94</v>
      </c>
      <c r="H142" s="64" t="str">
        <f t="shared" si="16"/>
        <v>..</v>
      </c>
    </row>
    <row r="143" spans="2:8">
      <c r="B143" s="158" t="s">
        <v>98</v>
      </c>
      <c r="C143" s="106">
        <v>13</v>
      </c>
      <c r="D143" s="106">
        <v>0</v>
      </c>
      <c r="E143" s="106">
        <v>15</v>
      </c>
      <c r="F143" s="226">
        <f>IFERROR(Table792226894100106[[#This Row],[Persons]]/$C$23,"..")</f>
        <v>1.0683760683760684E-2</v>
      </c>
      <c r="G143" s="106">
        <v>14</v>
      </c>
      <c r="H143" s="54">
        <f t="shared" si="16"/>
        <v>7.1428571428571425E-2</v>
      </c>
    </row>
    <row r="144" spans="2:8">
      <c r="B144" s="155" t="s">
        <v>189</v>
      </c>
      <c r="C144" s="103">
        <v>8</v>
      </c>
      <c r="D144" s="103">
        <v>4</v>
      </c>
      <c r="E144" s="103">
        <v>13</v>
      </c>
      <c r="F144" s="224">
        <f>IFERROR(Table792226894100106[[#This Row],[Persons]]/$C$23,"..")</f>
        <v>9.2592592592592587E-3</v>
      </c>
      <c r="G144" s="103">
        <v>18</v>
      </c>
      <c r="H144" s="64">
        <f t="shared" si="16"/>
        <v>-0.27777777777777779</v>
      </c>
    </row>
    <row r="145" spans="2:9">
      <c r="B145" s="158" t="s">
        <v>113</v>
      </c>
      <c r="C145" s="106">
        <v>0</v>
      </c>
      <c r="D145" s="106">
        <v>3</v>
      </c>
      <c r="E145" s="106">
        <v>12</v>
      </c>
      <c r="F145" s="226">
        <f>IFERROR(Table792226894100106[[#This Row],[Persons]]/$C$23,"..")</f>
        <v>8.5470085470085479E-3</v>
      </c>
      <c r="G145" s="106" t="s">
        <v>94</v>
      </c>
      <c r="H145" s="54" t="str">
        <f t="shared" si="16"/>
        <v>..</v>
      </c>
    </row>
    <row r="146" spans="2:9">
      <c r="B146" s="155" t="s">
        <v>146</v>
      </c>
      <c r="C146" s="103">
        <v>6</v>
      </c>
      <c r="D146" s="103">
        <v>5</v>
      </c>
      <c r="E146" s="103">
        <v>12</v>
      </c>
      <c r="F146" s="224">
        <f>IFERROR(Table792226894100106[[#This Row],[Persons]]/$C$23,"..")</f>
        <v>8.5470085470085479E-3</v>
      </c>
      <c r="G146" s="103" t="s">
        <v>94</v>
      </c>
      <c r="H146" s="64" t="str">
        <f t="shared" si="16"/>
        <v>..</v>
      </c>
    </row>
    <row r="147" spans="2:9">
      <c r="B147" s="158" t="s">
        <v>104</v>
      </c>
      <c r="C147" s="106">
        <v>3</v>
      </c>
      <c r="D147" s="106">
        <v>4</v>
      </c>
      <c r="E147" s="106">
        <v>11</v>
      </c>
      <c r="F147" s="226">
        <f>IFERROR(Table792226894100106[[#This Row],[Persons]]/$C$23,"..")</f>
        <v>7.8347578347578353E-3</v>
      </c>
      <c r="G147" s="106" t="s">
        <v>94</v>
      </c>
      <c r="H147" s="54" t="str">
        <f t="shared" si="16"/>
        <v>..</v>
      </c>
    </row>
    <row r="148" spans="2:9">
      <c r="B148" s="158" t="s">
        <v>127</v>
      </c>
      <c r="C148" s="106">
        <f>Table792226894100106[[#Totals],[Males]]-SUM(C128:C147)</f>
        <v>107</v>
      </c>
      <c r="D148" s="106">
        <f>Table792226894100106[[#Totals],[Females]]-SUM(D128:D147)</f>
        <v>88</v>
      </c>
      <c r="E148" s="106">
        <f>Table792226894100106[[#Totals],[Persons]]-SUM(E128:E147)</f>
        <v>166</v>
      </c>
      <c r="F148" s="226">
        <f>IFERROR(Table792226894100106[[#This Row],[Persons]]/$C$23,"..")</f>
        <v>0.11823361823361823</v>
      </c>
      <c r="G148" s="106">
        <f>Table792226894100106[[#Totals],[2011 Census]]-SUM(G128:G147)</f>
        <v>147</v>
      </c>
      <c r="H148" s="54">
        <f t="shared" si="16"/>
        <v>0.12925170068027211</v>
      </c>
    </row>
    <row r="149" spans="2:9">
      <c r="B149" s="284" t="s">
        <v>872</v>
      </c>
      <c r="C149" s="175" t="s">
        <v>218</v>
      </c>
      <c r="D149" s="175" t="s">
        <v>219</v>
      </c>
      <c r="E149" s="176" t="s">
        <v>220</v>
      </c>
      <c r="F149" s="177" t="s">
        <v>22</v>
      </c>
      <c r="G149" s="176">
        <f>E23</f>
        <v>1013</v>
      </c>
      <c r="H149" s="637">
        <f>(Table792226894100106[[#Totals],[Persons]]-G149)/G149</f>
        <v>0.38598223099703849</v>
      </c>
    </row>
    <row r="150" spans="2:9">
      <c r="B150" s="389" t="s">
        <v>873</v>
      </c>
      <c r="C150" s="180"/>
      <c r="D150" s="180"/>
      <c r="E150" s="180"/>
      <c r="F150" s="181"/>
      <c r="G150" s="180"/>
      <c r="H150" s="180"/>
      <c r="I150" s="182"/>
    </row>
    <row r="151" spans="2:9">
      <c r="B151" s="183"/>
      <c r="C151" s="183"/>
      <c r="D151" s="183"/>
      <c r="E151" s="183"/>
      <c r="F151" s="174"/>
      <c r="G151" s="553"/>
      <c r="H151" s="183"/>
      <c r="I151" s="183"/>
    </row>
    <row r="152" spans="2:9" ht="23.25">
      <c r="B152" s="127" t="s">
        <v>715</v>
      </c>
    </row>
    <row r="153" spans="2:9" ht="15.75">
      <c r="B153" s="150" t="s">
        <v>825</v>
      </c>
    </row>
    <row r="154" spans="2:9">
      <c r="B154" s="420" t="s">
        <v>36</v>
      </c>
      <c r="C154" s="145" t="s">
        <v>42</v>
      </c>
      <c r="D154" s="145" t="s">
        <v>43</v>
      </c>
      <c r="E154" s="145" t="s">
        <v>44</v>
      </c>
      <c r="F154" s="145" t="s">
        <v>45</v>
      </c>
      <c r="G154" s="145" t="s">
        <v>46</v>
      </c>
      <c r="H154" s="421" t="s">
        <v>28</v>
      </c>
    </row>
    <row r="155" spans="2:9">
      <c r="B155" s="422" t="s">
        <v>95</v>
      </c>
      <c r="C155" s="186"/>
      <c r="D155" s="186"/>
      <c r="E155" s="186"/>
      <c r="F155" s="186"/>
      <c r="G155" s="186"/>
      <c r="H155" s="423"/>
    </row>
    <row r="156" spans="2:9">
      <c r="B156" s="424" t="s">
        <v>48</v>
      </c>
      <c r="C156" s="238">
        <v>155</v>
      </c>
      <c r="D156" s="238">
        <v>106</v>
      </c>
      <c r="E156" s="238">
        <v>171</v>
      </c>
      <c r="F156" s="238">
        <v>127</v>
      </c>
      <c r="G156" s="238">
        <v>43</v>
      </c>
      <c r="H156" s="425">
        <v>600</v>
      </c>
    </row>
    <row r="157" spans="2:9">
      <c r="B157" s="426" t="s">
        <v>49</v>
      </c>
      <c r="C157" s="241">
        <v>26</v>
      </c>
      <c r="D157" s="241">
        <v>3</v>
      </c>
      <c r="E157" s="241">
        <v>12</v>
      </c>
      <c r="F157" s="241">
        <v>8</v>
      </c>
      <c r="G157" s="241">
        <v>10</v>
      </c>
      <c r="H157" s="427">
        <v>60</v>
      </c>
    </row>
    <row r="158" spans="2:9">
      <c r="B158" s="424" t="s">
        <v>50</v>
      </c>
      <c r="C158" s="238">
        <v>198</v>
      </c>
      <c r="D158" s="238">
        <v>117</v>
      </c>
      <c r="E158" s="238">
        <v>188</v>
      </c>
      <c r="F158" s="238">
        <v>139</v>
      </c>
      <c r="G158" s="238">
        <v>44</v>
      </c>
      <c r="H158" s="425">
        <v>688</v>
      </c>
    </row>
    <row r="159" spans="2:9">
      <c r="B159" s="428" t="s">
        <v>51</v>
      </c>
      <c r="C159" s="96">
        <f>IFERROR(C157/H158,"-")</f>
        <v>3.7790697674418602E-2</v>
      </c>
      <c r="D159" s="96">
        <f>IFERROR(D157/$H$158,"-")</f>
        <v>4.3604651162790697E-3</v>
      </c>
      <c r="E159" s="96">
        <f>IFERROR(E157/$H$158,"-")</f>
        <v>1.7441860465116279E-2</v>
      </c>
      <c r="F159" s="96">
        <f>IFERROR(F157/$H$158,"-")</f>
        <v>1.1627906976744186E-2</v>
      </c>
      <c r="G159" s="96">
        <f>IFERROR(G157/$H$158,"-")</f>
        <v>1.4534883720930232E-2</v>
      </c>
      <c r="H159" s="429">
        <f>IFERROR(H157/$H$158,"-")</f>
        <v>8.7209302325581398E-2</v>
      </c>
    </row>
    <row r="160" spans="2:9">
      <c r="B160" s="430" t="s">
        <v>47</v>
      </c>
      <c r="C160" s="196"/>
      <c r="D160" s="196"/>
      <c r="E160" s="196"/>
      <c r="F160" s="196"/>
      <c r="G160" s="196"/>
      <c r="H160" s="431"/>
    </row>
    <row r="161" spans="2:8">
      <c r="B161" s="426" t="s">
        <v>48</v>
      </c>
      <c r="C161" s="241">
        <v>15</v>
      </c>
      <c r="D161" s="241">
        <v>0</v>
      </c>
      <c r="E161" s="241">
        <v>31</v>
      </c>
      <c r="F161" s="241">
        <v>3</v>
      </c>
      <c r="G161" s="241">
        <v>0</v>
      </c>
      <c r="H161" s="427">
        <v>49</v>
      </c>
    </row>
    <row r="162" spans="2:8">
      <c r="B162" s="424" t="s">
        <v>49</v>
      </c>
      <c r="C162" s="238">
        <v>3</v>
      </c>
      <c r="D162" s="238">
        <v>0</v>
      </c>
      <c r="E162" s="238">
        <v>0</v>
      </c>
      <c r="F162" s="238">
        <v>0</v>
      </c>
      <c r="G162" s="238">
        <v>0</v>
      </c>
      <c r="H162" s="425">
        <v>5</v>
      </c>
    </row>
    <row r="163" spans="2:8">
      <c r="B163" s="426" t="s">
        <v>50</v>
      </c>
      <c r="C163" s="241">
        <v>17</v>
      </c>
      <c r="D163" s="241">
        <v>5</v>
      </c>
      <c r="E163" s="241">
        <v>31</v>
      </c>
      <c r="F163" s="241">
        <v>10</v>
      </c>
      <c r="G163" s="241">
        <v>0</v>
      </c>
      <c r="H163" s="427">
        <v>58</v>
      </c>
    </row>
    <row r="164" spans="2:8">
      <c r="B164" s="432" t="s">
        <v>51</v>
      </c>
      <c r="C164" s="101">
        <f>IFERROR(C162/$H$163,"-")</f>
        <v>5.1724137931034482E-2</v>
      </c>
      <c r="D164" s="101">
        <f t="shared" ref="D164:H164" si="17">IFERROR(D162/$H$163,"-")</f>
        <v>0</v>
      </c>
      <c r="E164" s="101">
        <f t="shared" si="17"/>
        <v>0</v>
      </c>
      <c r="F164" s="101">
        <f t="shared" si="17"/>
        <v>0</v>
      </c>
      <c r="G164" s="101">
        <f t="shared" si="17"/>
        <v>0</v>
      </c>
      <c r="H164" s="433">
        <f t="shared" si="17"/>
        <v>8.6206896551724144E-2</v>
      </c>
    </row>
    <row r="165" spans="2:8">
      <c r="B165" s="422" t="s">
        <v>148</v>
      </c>
      <c r="C165" s="186"/>
      <c r="D165" s="186"/>
      <c r="E165" s="186"/>
      <c r="F165" s="186"/>
      <c r="G165" s="186"/>
      <c r="H165" s="427"/>
    </row>
    <row r="166" spans="2:8">
      <c r="B166" s="424" t="s">
        <v>48</v>
      </c>
      <c r="C166" s="238">
        <v>9</v>
      </c>
      <c r="D166" s="238">
        <v>6</v>
      </c>
      <c r="E166" s="238">
        <v>22</v>
      </c>
      <c r="F166" s="239">
        <v>3</v>
      </c>
      <c r="G166" s="434">
        <v>0</v>
      </c>
      <c r="H166" s="425">
        <v>40</v>
      </c>
    </row>
    <row r="167" spans="2:8">
      <c r="B167" s="426" t="s">
        <v>49</v>
      </c>
      <c r="C167" s="241"/>
      <c r="D167" s="241"/>
      <c r="E167" s="241"/>
      <c r="F167" s="242"/>
      <c r="G167" s="241"/>
      <c r="H167" s="427"/>
    </row>
    <row r="168" spans="2:8">
      <c r="B168" s="424" t="s">
        <v>50</v>
      </c>
      <c r="C168" s="238">
        <v>9</v>
      </c>
      <c r="D168" s="238">
        <v>6</v>
      </c>
      <c r="E168" s="238">
        <v>22</v>
      </c>
      <c r="F168" s="238">
        <v>3</v>
      </c>
      <c r="G168" s="435">
        <v>0</v>
      </c>
      <c r="H168" s="425">
        <v>40</v>
      </c>
    </row>
    <row r="169" spans="2:8">
      <c r="B169" s="428" t="s">
        <v>51</v>
      </c>
      <c r="C169" s="96">
        <f>IFERROR(C167/$H$168,"-")</f>
        <v>0</v>
      </c>
      <c r="D169" s="96">
        <f t="shared" ref="D169:H169" si="18">IFERROR(D167/$H$168,"-")</f>
        <v>0</v>
      </c>
      <c r="E169" s="96">
        <f t="shared" si="18"/>
        <v>0</v>
      </c>
      <c r="F169" s="96">
        <f t="shared" si="18"/>
        <v>0</v>
      </c>
      <c r="G169" s="96">
        <f t="shared" si="18"/>
        <v>0</v>
      </c>
      <c r="H169" s="429">
        <f t="shared" si="18"/>
        <v>0</v>
      </c>
    </row>
    <row r="170" spans="2:8">
      <c r="B170" s="430" t="s">
        <v>53</v>
      </c>
      <c r="C170" s="196"/>
      <c r="D170" s="196"/>
      <c r="E170" s="196"/>
      <c r="F170" s="196"/>
      <c r="G170" s="196"/>
      <c r="H170" s="431"/>
    </row>
    <row r="171" spans="2:8">
      <c r="B171" s="426" t="s">
        <v>48</v>
      </c>
      <c r="C171" s="241">
        <v>4</v>
      </c>
      <c r="D171" s="241">
        <v>4</v>
      </c>
      <c r="E171" s="241">
        <v>19</v>
      </c>
      <c r="F171" s="241">
        <v>0</v>
      </c>
      <c r="G171" s="241">
        <v>0</v>
      </c>
      <c r="H171" s="427">
        <v>31</v>
      </c>
    </row>
    <row r="172" spans="2:8">
      <c r="B172" s="424" t="s">
        <v>49</v>
      </c>
      <c r="C172" s="238">
        <v>0</v>
      </c>
      <c r="D172" s="238">
        <v>0</v>
      </c>
      <c r="E172" s="238">
        <v>0</v>
      </c>
      <c r="F172" s="238">
        <v>3</v>
      </c>
      <c r="G172" s="238">
        <v>0</v>
      </c>
      <c r="H172" s="425">
        <v>6</v>
      </c>
    </row>
    <row r="173" spans="2:8">
      <c r="B173" s="426" t="s">
        <v>50</v>
      </c>
      <c r="C173" s="241">
        <v>8</v>
      </c>
      <c r="D173" s="241">
        <v>4</v>
      </c>
      <c r="E173" s="241">
        <v>23</v>
      </c>
      <c r="F173" s="241">
        <v>5</v>
      </c>
      <c r="G173" s="241">
        <v>0</v>
      </c>
      <c r="H173" s="427">
        <v>35</v>
      </c>
    </row>
    <row r="174" spans="2:8">
      <c r="B174" s="432" t="s">
        <v>51</v>
      </c>
      <c r="C174" s="98">
        <f>IFERROR(C172/$H$173,"-")</f>
        <v>0</v>
      </c>
      <c r="D174" s="98">
        <f t="shared" ref="D174:H174" si="19">IFERROR(D172/$H$173,"-")</f>
        <v>0</v>
      </c>
      <c r="E174" s="98">
        <f t="shared" si="19"/>
        <v>0</v>
      </c>
      <c r="F174" s="98">
        <f t="shared" si="19"/>
        <v>8.5714285714285715E-2</v>
      </c>
      <c r="G174" s="98">
        <f t="shared" si="19"/>
        <v>0</v>
      </c>
      <c r="H174" s="436">
        <f t="shared" si="19"/>
        <v>0.17142857142857143</v>
      </c>
    </row>
    <row r="175" spans="2:8">
      <c r="B175" s="422" t="s">
        <v>97</v>
      </c>
      <c r="C175" s="186"/>
      <c r="D175" s="186"/>
      <c r="E175" s="186"/>
      <c r="F175" s="186"/>
      <c r="G175" s="186"/>
      <c r="H175" s="423"/>
    </row>
    <row r="176" spans="2:8">
      <c r="B176" s="424" t="s">
        <v>48</v>
      </c>
      <c r="C176" s="238">
        <v>8</v>
      </c>
      <c r="D176" s="238">
        <v>3</v>
      </c>
      <c r="E176" s="238">
        <v>4</v>
      </c>
      <c r="F176" s="238">
        <v>6</v>
      </c>
      <c r="G176" s="238">
        <v>0</v>
      </c>
      <c r="H176" s="425">
        <v>22</v>
      </c>
    </row>
    <row r="177" spans="2:10">
      <c r="B177" s="426" t="s">
        <v>49</v>
      </c>
      <c r="C177" s="241"/>
      <c r="D177" s="241"/>
      <c r="E177" s="241"/>
      <c r="F177" s="241"/>
      <c r="G177" s="241"/>
      <c r="H177" s="427"/>
    </row>
    <row r="178" spans="2:10">
      <c r="B178" s="424" t="s">
        <v>50</v>
      </c>
      <c r="C178" s="238">
        <v>8</v>
      </c>
      <c r="D178" s="238">
        <v>3</v>
      </c>
      <c r="E178" s="238">
        <v>4</v>
      </c>
      <c r="F178" s="238">
        <v>6</v>
      </c>
      <c r="G178" s="238">
        <v>0</v>
      </c>
      <c r="H178" s="425">
        <v>22</v>
      </c>
    </row>
    <row r="179" spans="2:10">
      <c r="B179" s="428" t="s">
        <v>51</v>
      </c>
      <c r="C179" s="96">
        <f>IFERROR(C177/$H$178,"-")</f>
        <v>0</v>
      </c>
      <c r="D179" s="96">
        <f t="shared" ref="D179:H179" si="20">IFERROR(D177/$H$178,"-")</f>
        <v>0</v>
      </c>
      <c r="E179" s="96">
        <f t="shared" si="20"/>
        <v>0</v>
      </c>
      <c r="F179" s="96">
        <f t="shared" si="20"/>
        <v>0</v>
      </c>
      <c r="G179" s="96">
        <f t="shared" si="20"/>
        <v>0</v>
      </c>
      <c r="H179" s="429">
        <f t="shared" si="20"/>
        <v>0</v>
      </c>
    </row>
    <row r="180" spans="2:10">
      <c r="B180" s="430" t="s">
        <v>114</v>
      </c>
      <c r="C180" s="196"/>
      <c r="D180" s="196"/>
      <c r="E180" s="196"/>
      <c r="F180" s="196"/>
      <c r="G180" s="196"/>
      <c r="H180" s="431"/>
    </row>
    <row r="181" spans="2:10">
      <c r="B181" s="426" t="s">
        <v>48</v>
      </c>
      <c r="C181" s="207">
        <v>232</v>
      </c>
      <c r="D181" s="207">
        <v>156</v>
      </c>
      <c r="E181" s="207">
        <v>371</v>
      </c>
      <c r="F181" s="207">
        <v>198</v>
      </c>
      <c r="G181" s="207">
        <v>53</v>
      </c>
      <c r="H181" s="935">
        <v>1012</v>
      </c>
    </row>
    <row r="182" spans="2:10">
      <c r="B182" s="424" t="s">
        <v>49</v>
      </c>
      <c r="C182" s="209">
        <v>40</v>
      </c>
      <c r="D182" s="209">
        <v>12</v>
      </c>
      <c r="E182" s="209">
        <v>22</v>
      </c>
      <c r="F182" s="209">
        <v>24</v>
      </c>
      <c r="G182" s="209">
        <v>12</v>
      </c>
      <c r="H182" s="936">
        <v>113</v>
      </c>
    </row>
    <row r="183" spans="2:10">
      <c r="B183" s="426" t="s">
        <v>50</v>
      </c>
      <c r="C183" s="207">
        <v>287</v>
      </c>
      <c r="D183" s="207">
        <v>173</v>
      </c>
      <c r="E183" s="207">
        <v>402</v>
      </c>
      <c r="F183" s="207">
        <v>227</v>
      </c>
      <c r="G183" s="207">
        <v>72</v>
      </c>
      <c r="H183" s="935">
        <v>1163</v>
      </c>
    </row>
    <row r="184" spans="2:10">
      <c r="B184" s="437" t="s">
        <v>51</v>
      </c>
      <c r="C184" s="438">
        <f>IFERROR(C182/$H$183,"-")</f>
        <v>3.4393809114359415E-2</v>
      </c>
      <c r="D184" s="438">
        <f t="shared" ref="D184:H184" si="21">IFERROR(D182/$H$183,"-")</f>
        <v>1.0318142734307825E-2</v>
      </c>
      <c r="E184" s="438">
        <f t="shared" si="21"/>
        <v>1.8916595012897677E-2</v>
      </c>
      <c r="F184" s="438">
        <f t="shared" si="21"/>
        <v>2.063628546861565E-2</v>
      </c>
      <c r="G184" s="438">
        <f t="shared" si="21"/>
        <v>1.0318142734307825E-2</v>
      </c>
      <c r="H184" s="439">
        <f t="shared" si="21"/>
        <v>9.7162510748065353E-2</v>
      </c>
    </row>
    <row r="186" spans="2:10" ht="23.25">
      <c r="B186" s="127" t="s">
        <v>716</v>
      </c>
    </row>
    <row r="187" spans="2:10" ht="15.75">
      <c r="B187" s="150" t="s">
        <v>826</v>
      </c>
      <c r="J187" s="555"/>
    </row>
    <row r="188" spans="2:10" ht="25.5">
      <c r="B188" s="684"/>
      <c r="C188" s="1233" t="s">
        <v>125</v>
      </c>
      <c r="D188" s="1234"/>
      <c r="E188" s="1234"/>
      <c r="F188" s="1238"/>
      <c r="G188" s="607" t="s">
        <v>10</v>
      </c>
      <c r="H188" s="212" t="s">
        <v>58</v>
      </c>
      <c r="I188" s="213" t="s">
        <v>70</v>
      </c>
    </row>
    <row r="189" spans="2:10" ht="63.75">
      <c r="B189" s="560" t="s">
        <v>879</v>
      </c>
      <c r="C189" s="214" t="s">
        <v>61</v>
      </c>
      <c r="D189" s="214" t="s">
        <v>60</v>
      </c>
      <c r="E189" s="214" t="s">
        <v>59</v>
      </c>
      <c r="F189" s="609" t="s">
        <v>848</v>
      </c>
      <c r="G189" s="214" t="s">
        <v>122</v>
      </c>
      <c r="H189" s="214" t="s">
        <v>640</v>
      </c>
      <c r="I189" s="215" t="s">
        <v>641</v>
      </c>
    </row>
    <row r="190" spans="2:10" s="118" customFormat="1">
      <c r="B190" s="216" t="s">
        <v>116</v>
      </c>
      <c r="C190" s="217">
        <v>3017</v>
      </c>
      <c r="D190" s="217">
        <v>28</v>
      </c>
      <c r="E190" s="217">
        <v>416</v>
      </c>
      <c r="F190" s="217">
        <v>79</v>
      </c>
      <c r="G190" s="217">
        <v>62</v>
      </c>
      <c r="H190" s="217">
        <v>112</v>
      </c>
      <c r="I190" s="218">
        <v>3712</v>
      </c>
    </row>
    <row r="191" spans="2:10" s="118" customFormat="1">
      <c r="B191" s="216" t="s">
        <v>115</v>
      </c>
      <c r="C191" s="217">
        <v>1612</v>
      </c>
      <c r="D191" s="217">
        <v>109</v>
      </c>
      <c r="E191" s="217">
        <v>291</v>
      </c>
      <c r="F191" s="217">
        <v>29</v>
      </c>
      <c r="G191" s="217">
        <v>265</v>
      </c>
      <c r="H191" s="217">
        <v>63</v>
      </c>
      <c r="I191" s="218">
        <v>2372</v>
      </c>
    </row>
    <row r="192" spans="2:10" s="118" customFormat="1">
      <c r="B192" s="216" t="s">
        <v>118</v>
      </c>
      <c r="C192" s="217">
        <v>746</v>
      </c>
      <c r="D192" s="217">
        <v>0</v>
      </c>
      <c r="E192" s="217">
        <v>14</v>
      </c>
      <c r="F192" s="217">
        <v>22</v>
      </c>
      <c r="G192" s="217">
        <v>0</v>
      </c>
      <c r="H192" s="217">
        <v>7</v>
      </c>
      <c r="I192" s="218">
        <v>791</v>
      </c>
    </row>
    <row r="193" spans="2:9" s="118" customFormat="1">
      <c r="B193" s="216" t="s">
        <v>117</v>
      </c>
      <c r="C193" s="217">
        <v>547</v>
      </c>
      <c r="D193" s="217">
        <v>20</v>
      </c>
      <c r="E193" s="217">
        <v>62</v>
      </c>
      <c r="F193" s="217">
        <v>8</v>
      </c>
      <c r="G193" s="217">
        <v>78</v>
      </c>
      <c r="H193" s="217">
        <v>11</v>
      </c>
      <c r="I193" s="218">
        <v>722</v>
      </c>
    </row>
    <row r="194" spans="2:9" s="118" customFormat="1">
      <c r="B194" s="216" t="s">
        <v>119</v>
      </c>
      <c r="C194" s="217">
        <v>450</v>
      </c>
      <c r="D194" s="217">
        <v>27</v>
      </c>
      <c r="E194" s="217">
        <v>91</v>
      </c>
      <c r="F194" s="217">
        <v>6</v>
      </c>
      <c r="G194" s="217">
        <v>92</v>
      </c>
      <c r="H194" s="217">
        <v>11</v>
      </c>
      <c r="I194" s="218">
        <v>679</v>
      </c>
    </row>
    <row r="195" spans="2:9" s="118" customFormat="1">
      <c r="B195" s="216" t="s">
        <v>97</v>
      </c>
      <c r="C195" s="217">
        <v>284</v>
      </c>
      <c r="D195" s="217">
        <v>16</v>
      </c>
      <c r="E195" s="217">
        <v>43</v>
      </c>
      <c r="F195" s="217">
        <v>9</v>
      </c>
      <c r="G195" s="217">
        <v>49</v>
      </c>
      <c r="H195" s="217">
        <v>7</v>
      </c>
      <c r="I195" s="218">
        <v>405</v>
      </c>
    </row>
    <row r="196" spans="2:9" s="118" customFormat="1">
      <c r="B196" s="216" t="s">
        <v>98</v>
      </c>
      <c r="C196" s="217">
        <v>85</v>
      </c>
      <c r="D196" s="217">
        <v>8</v>
      </c>
      <c r="E196" s="217">
        <v>27</v>
      </c>
      <c r="F196" s="217">
        <v>0</v>
      </c>
      <c r="G196" s="217">
        <v>15</v>
      </c>
      <c r="H196" s="217">
        <v>3</v>
      </c>
      <c r="I196" s="218">
        <v>141</v>
      </c>
    </row>
    <row r="197" spans="2:9" s="118" customFormat="1">
      <c r="B197" s="216" t="s">
        <v>121</v>
      </c>
      <c r="C197" s="217">
        <v>51</v>
      </c>
      <c r="D197" s="217">
        <v>11</v>
      </c>
      <c r="E197" s="217">
        <v>5</v>
      </c>
      <c r="F197" s="217">
        <v>0</v>
      </c>
      <c r="G197" s="217">
        <v>63</v>
      </c>
      <c r="H197" s="217">
        <v>3</v>
      </c>
      <c r="I197" s="218">
        <v>138</v>
      </c>
    </row>
    <row r="198" spans="2:9" s="118" customFormat="1">
      <c r="B198" s="216" t="s">
        <v>111</v>
      </c>
      <c r="C198" s="217">
        <v>19</v>
      </c>
      <c r="D198" s="217">
        <v>12</v>
      </c>
      <c r="E198" s="217">
        <v>18</v>
      </c>
      <c r="F198" s="217">
        <v>0</v>
      </c>
      <c r="G198" s="217">
        <v>20</v>
      </c>
      <c r="H198" s="217">
        <v>4</v>
      </c>
      <c r="I198" s="218">
        <v>75</v>
      </c>
    </row>
    <row r="199" spans="2:9" s="118" customFormat="1">
      <c r="B199" s="219" t="s">
        <v>54</v>
      </c>
      <c r="C199" s="220">
        <v>4</v>
      </c>
      <c r="D199" s="220">
        <v>29</v>
      </c>
      <c r="E199" s="220">
        <v>15</v>
      </c>
      <c r="F199" s="220">
        <v>0</v>
      </c>
      <c r="G199" s="220">
        <v>202</v>
      </c>
      <c r="H199" s="220">
        <v>3</v>
      </c>
      <c r="I199" s="221">
        <v>259</v>
      </c>
    </row>
    <row r="200" spans="2:9">
      <c r="B200" s="389" t="s">
        <v>878</v>
      </c>
    </row>
    <row r="202" spans="2:9" ht="23.25">
      <c r="B202" s="127" t="s">
        <v>717</v>
      </c>
    </row>
    <row r="203" spans="2:9" ht="15.75">
      <c r="B203" s="150" t="s">
        <v>332</v>
      </c>
    </row>
    <row r="204" spans="2:9" ht="25.5">
      <c r="B204" s="173" t="s">
        <v>64</v>
      </c>
      <c r="C204" s="222" t="s">
        <v>37</v>
      </c>
      <c r="D204" s="222" t="s">
        <v>38</v>
      </c>
      <c r="E204" s="222" t="s">
        <v>6</v>
      </c>
      <c r="F204" s="222" t="s">
        <v>1</v>
      </c>
      <c r="G204" s="223" t="s">
        <v>7</v>
      </c>
      <c r="H204" s="222" t="s">
        <v>65</v>
      </c>
      <c r="I204" s="222" t="s">
        <v>8</v>
      </c>
    </row>
    <row r="205" spans="2:9">
      <c r="B205" s="645" t="s">
        <v>149</v>
      </c>
      <c r="C205" s="103">
        <v>1644</v>
      </c>
      <c r="D205" s="103">
        <v>1401</v>
      </c>
      <c r="E205" s="103">
        <v>3049</v>
      </c>
      <c r="F205" s="224">
        <f>SUM(Table79222681196102108[[#This Row],[Persons]]/$C$15)</f>
        <v>0.31371540281922006</v>
      </c>
      <c r="G205" s="228">
        <v>2446</v>
      </c>
      <c r="H205" s="103">
        <f>Table79222681196102108[[#This Row],[Persons]]-Table79222681196102108[[#This Row],[2011 Census]]</f>
        <v>603</v>
      </c>
      <c r="I205" s="64">
        <f>IFERROR((Table79222681196102108[[#This Row],[Persons]]-Table79222681196102108[[#This Row],[2011 Census]])/Table79222681196102108[[#This Row],[2011 Census]],"..")</f>
        <v>0.24652493867538838</v>
      </c>
    </row>
    <row r="206" spans="2:9">
      <c r="B206" s="646" t="s">
        <v>150</v>
      </c>
      <c r="C206" s="106">
        <v>888</v>
      </c>
      <c r="D206" s="106">
        <v>844</v>
      </c>
      <c r="E206" s="106">
        <v>1731</v>
      </c>
      <c r="F206" s="226">
        <f>SUM(Table79222681196102108[[#This Row],[Persons]]/$C$15)</f>
        <v>0.17810474328634635</v>
      </c>
      <c r="G206" s="227">
        <v>2055</v>
      </c>
      <c r="H206" s="106">
        <f>Table79222681196102108[[#This Row],[Persons]]-Table79222681196102108[[#This Row],[2011 Census]]</f>
        <v>-324</v>
      </c>
      <c r="I206" s="54">
        <f>IFERROR((Table79222681196102108[[#This Row],[Persons]]-Table79222681196102108[[#This Row],[2011 Census]])/Table79222681196102108[[#This Row],[2011 Census]],"..")</f>
        <v>-0.15766423357664233</v>
      </c>
    </row>
    <row r="207" spans="2:9">
      <c r="B207" s="645" t="s">
        <v>151</v>
      </c>
      <c r="C207" s="103">
        <v>466</v>
      </c>
      <c r="D207" s="103">
        <v>490</v>
      </c>
      <c r="E207" s="103">
        <v>958</v>
      </c>
      <c r="F207" s="224">
        <f>SUM(Table79222681196102108[[#This Row],[Persons]]/$C$15)</f>
        <v>9.8569811709023555E-2</v>
      </c>
      <c r="G207" s="228">
        <v>1334</v>
      </c>
      <c r="H207" s="103">
        <f>Table79222681196102108[[#This Row],[Persons]]-Table79222681196102108[[#This Row],[2011 Census]]</f>
        <v>-376</v>
      </c>
      <c r="I207" s="64">
        <f>IFERROR((Table79222681196102108[[#This Row],[Persons]]-Table79222681196102108[[#This Row],[2011 Census]])/Table79222681196102108[[#This Row],[2011 Census]],"..")</f>
        <v>-0.2818590704647676</v>
      </c>
    </row>
    <row r="208" spans="2:9">
      <c r="B208" s="646" t="s">
        <v>153</v>
      </c>
      <c r="C208" s="106">
        <v>147</v>
      </c>
      <c r="D208" s="106">
        <v>152</v>
      </c>
      <c r="E208" s="106">
        <v>294</v>
      </c>
      <c r="F208" s="226">
        <f>SUM(Table79222681196102108[[#This Row],[Persons]]/$C$15)</f>
        <v>3.0250025722810988E-2</v>
      </c>
      <c r="G208" s="227">
        <v>428</v>
      </c>
      <c r="H208" s="106">
        <f>Table79222681196102108[[#This Row],[Persons]]-Table79222681196102108[[#This Row],[2011 Census]]</f>
        <v>-134</v>
      </c>
      <c r="I208" s="54">
        <f>IFERROR((Table79222681196102108[[#This Row],[Persons]]-Table79222681196102108[[#This Row],[2011 Census]])/Table79222681196102108[[#This Row],[2011 Census]],"..")</f>
        <v>-0.31308411214953269</v>
      </c>
    </row>
    <row r="209" spans="2:9">
      <c r="B209" s="645" t="s">
        <v>154</v>
      </c>
      <c r="C209" s="103">
        <v>106</v>
      </c>
      <c r="D209" s="103">
        <v>135</v>
      </c>
      <c r="E209" s="103">
        <v>241</v>
      </c>
      <c r="F209" s="224">
        <f>SUM(Table79222681196102108[[#This Row],[Persons]]/$C$15)</f>
        <v>2.4796789793188601E-2</v>
      </c>
      <c r="G209" s="228">
        <v>379</v>
      </c>
      <c r="H209" s="103">
        <f>Table79222681196102108[[#This Row],[Persons]]-Table79222681196102108[[#This Row],[2011 Census]]</f>
        <v>-138</v>
      </c>
      <c r="I209" s="64">
        <f>IFERROR((Table79222681196102108[[#This Row],[Persons]]-Table79222681196102108[[#This Row],[2011 Census]])/Table79222681196102108[[#This Row],[2011 Census]],"..")</f>
        <v>-0.36411609498680741</v>
      </c>
    </row>
    <row r="210" spans="2:9">
      <c r="B210" s="646" t="s">
        <v>162</v>
      </c>
      <c r="C210" s="106">
        <v>83</v>
      </c>
      <c r="D210" s="106">
        <v>97</v>
      </c>
      <c r="E210" s="106">
        <v>183</v>
      </c>
      <c r="F210" s="226">
        <f>SUM(Table79222681196102108[[#This Row],[Persons]]/$C$15)</f>
        <v>1.8829097643790513E-2</v>
      </c>
      <c r="G210" s="227">
        <v>171</v>
      </c>
      <c r="H210" s="106">
        <f>Table79222681196102108[[#This Row],[Persons]]-Table79222681196102108[[#This Row],[2011 Census]]</f>
        <v>12</v>
      </c>
      <c r="I210" s="54">
        <f>IFERROR((Table79222681196102108[[#This Row],[Persons]]-Table79222681196102108[[#This Row],[2011 Census]])/Table79222681196102108[[#This Row],[2011 Census]],"..")</f>
        <v>7.0175438596491224E-2</v>
      </c>
    </row>
    <row r="211" spans="2:9">
      <c r="B211" s="645" t="s">
        <v>157</v>
      </c>
      <c r="C211" s="103">
        <v>65</v>
      </c>
      <c r="D211" s="103">
        <v>65</v>
      </c>
      <c r="E211" s="103">
        <v>130</v>
      </c>
      <c r="F211" s="224">
        <f>SUM(Table79222681196102108[[#This Row],[Persons]]/$C$15)</f>
        <v>1.3375861714168125E-2</v>
      </c>
      <c r="G211" s="228">
        <v>194</v>
      </c>
      <c r="H211" s="103">
        <f>Table79222681196102108[[#This Row],[Persons]]-Table79222681196102108[[#This Row],[2011 Census]]</f>
        <v>-64</v>
      </c>
      <c r="I211" s="64">
        <f>IFERROR((Table79222681196102108[[#This Row],[Persons]]-Table79222681196102108[[#This Row],[2011 Census]])/Table79222681196102108[[#This Row],[2011 Census]],"..")</f>
        <v>-0.32989690721649484</v>
      </c>
    </row>
    <row r="212" spans="2:9">
      <c r="B212" s="646" t="s">
        <v>155</v>
      </c>
      <c r="C212" s="106">
        <v>42</v>
      </c>
      <c r="D212" s="106">
        <v>59</v>
      </c>
      <c r="E212" s="106">
        <v>98</v>
      </c>
      <c r="F212" s="226">
        <f>SUM(Table79222681196102108[[#This Row],[Persons]]/$C$15)</f>
        <v>1.0083341907603663E-2</v>
      </c>
      <c r="G212" s="227">
        <v>86</v>
      </c>
      <c r="H212" s="106">
        <f>Table79222681196102108[[#This Row],[Persons]]-Table79222681196102108[[#This Row],[2011 Census]]</f>
        <v>12</v>
      </c>
      <c r="I212" s="54">
        <f>IFERROR((Table79222681196102108[[#This Row],[Persons]]-Table79222681196102108[[#This Row],[2011 Census]])/Table79222681196102108[[#This Row],[2011 Census]],"..")</f>
        <v>0.13953488372093023</v>
      </c>
    </row>
    <row r="213" spans="2:9">
      <c r="B213" s="645" t="s">
        <v>156</v>
      </c>
      <c r="C213" s="103">
        <v>31</v>
      </c>
      <c r="D213" s="103">
        <v>51</v>
      </c>
      <c r="E213" s="103">
        <v>86</v>
      </c>
      <c r="F213" s="224">
        <f>SUM(Table79222681196102108[[#This Row],[Persons]]/$C$15)</f>
        <v>8.8486469801419901E-3</v>
      </c>
      <c r="G213" s="228">
        <v>58</v>
      </c>
      <c r="H213" s="103">
        <f>Table79222681196102108[[#This Row],[Persons]]-Table79222681196102108[[#This Row],[2011 Census]]</f>
        <v>28</v>
      </c>
      <c r="I213" s="64">
        <f>IFERROR((Table79222681196102108[[#This Row],[Persons]]-Table79222681196102108[[#This Row],[2011 Census]])/Table79222681196102108[[#This Row],[2011 Census]],"..")</f>
        <v>0.48275862068965519</v>
      </c>
    </row>
    <row r="214" spans="2:9">
      <c r="B214" s="646" t="s">
        <v>158</v>
      </c>
      <c r="C214" s="106">
        <v>41</v>
      </c>
      <c r="D214" s="106">
        <v>34</v>
      </c>
      <c r="E214" s="106">
        <v>78</v>
      </c>
      <c r="F214" s="226">
        <f>SUM(Table79222681196102108[[#This Row],[Persons]]/$C$15)</f>
        <v>8.0255170285008746E-3</v>
      </c>
      <c r="G214" s="227">
        <v>12</v>
      </c>
      <c r="H214" s="106">
        <f>Table79222681196102108[[#This Row],[Persons]]-Table79222681196102108[[#This Row],[2011 Census]]</f>
        <v>66</v>
      </c>
      <c r="I214" s="54">
        <f>IFERROR((Table79222681196102108[[#This Row],[Persons]]-Table79222681196102108[[#This Row],[2011 Census]])/Table79222681196102108[[#This Row],[2011 Census]],"..")</f>
        <v>5.5</v>
      </c>
    </row>
    <row r="215" spans="2:9">
      <c r="B215" s="645" t="s">
        <v>152</v>
      </c>
      <c r="C215" s="103">
        <v>39</v>
      </c>
      <c r="D215" s="103">
        <v>26</v>
      </c>
      <c r="E215" s="103">
        <v>67</v>
      </c>
      <c r="F215" s="224">
        <f>SUM(Table79222681196102108[[#This Row],[Persons]]/$C$15)</f>
        <v>6.8937133449943414E-3</v>
      </c>
      <c r="G215" s="228">
        <v>128</v>
      </c>
      <c r="H215" s="103">
        <f>Table79222681196102108[[#This Row],[Persons]]-Table79222681196102108[[#This Row],[2011 Census]]</f>
        <v>-61</v>
      </c>
      <c r="I215" s="64">
        <f>IFERROR((Table79222681196102108[[#This Row],[Persons]]-Table79222681196102108[[#This Row],[2011 Census]])/Table79222681196102108[[#This Row],[2011 Census]],"..")</f>
        <v>-0.4765625</v>
      </c>
    </row>
    <row r="216" spans="2:9">
      <c r="B216" s="646" t="s">
        <v>161</v>
      </c>
      <c r="C216" s="106">
        <v>23</v>
      </c>
      <c r="D216" s="106">
        <v>17</v>
      </c>
      <c r="E216" s="106">
        <v>37</v>
      </c>
      <c r="F216" s="226">
        <f>SUM(Table79222681196102108[[#This Row],[Persons]]/$C$15)</f>
        <v>3.8069760263401585E-3</v>
      </c>
      <c r="G216" s="227">
        <v>16</v>
      </c>
      <c r="H216" s="106">
        <f>Table79222681196102108[[#This Row],[Persons]]-Table79222681196102108[[#This Row],[2011 Census]]</f>
        <v>21</v>
      </c>
      <c r="I216" s="54">
        <f>IFERROR((Table79222681196102108[[#This Row],[Persons]]-Table79222681196102108[[#This Row],[2011 Census]])/Table79222681196102108[[#This Row],[2011 Census]],"..")</f>
        <v>1.3125</v>
      </c>
    </row>
    <row r="217" spans="2:9">
      <c r="B217" s="645" t="s">
        <v>164</v>
      </c>
      <c r="C217" s="103">
        <v>14</v>
      </c>
      <c r="D217" s="103">
        <v>15</v>
      </c>
      <c r="E217" s="103">
        <v>29</v>
      </c>
      <c r="F217" s="224">
        <f>SUM(Table79222681196102108[[#This Row],[Persons]]/$C$15)</f>
        <v>2.983846074699043E-3</v>
      </c>
      <c r="G217" s="228">
        <v>20</v>
      </c>
      <c r="H217" s="103">
        <f>Table79222681196102108[[#This Row],[Persons]]-Table79222681196102108[[#This Row],[2011 Census]]</f>
        <v>9</v>
      </c>
      <c r="I217" s="64">
        <f>IFERROR((Table79222681196102108[[#This Row],[Persons]]-Table79222681196102108[[#This Row],[2011 Census]])/Table79222681196102108[[#This Row],[2011 Census]],"..")</f>
        <v>0.45</v>
      </c>
    </row>
    <row r="218" spans="2:9">
      <c r="B218" s="646" t="s">
        <v>168</v>
      </c>
      <c r="C218" s="106">
        <v>15</v>
      </c>
      <c r="D218" s="106">
        <v>13</v>
      </c>
      <c r="E218" s="106">
        <v>29</v>
      </c>
      <c r="F218" s="226">
        <f>SUM(Table79222681196102108[[#This Row],[Persons]]/$C$15)</f>
        <v>2.983846074699043E-3</v>
      </c>
      <c r="G218" s="227">
        <v>51</v>
      </c>
      <c r="H218" s="106">
        <f>Table79222681196102108[[#This Row],[Persons]]-Table79222681196102108[[#This Row],[2011 Census]]</f>
        <v>-22</v>
      </c>
      <c r="I218" s="54">
        <f>IFERROR((Table79222681196102108[[#This Row],[Persons]]-Table79222681196102108[[#This Row],[2011 Census]])/Table79222681196102108[[#This Row],[2011 Census]],"..")</f>
        <v>-0.43137254901960786</v>
      </c>
    </row>
    <row r="219" spans="2:9">
      <c r="B219" s="645" t="s">
        <v>165</v>
      </c>
      <c r="C219" s="103">
        <v>18</v>
      </c>
      <c r="D219" s="103">
        <v>10</v>
      </c>
      <c r="E219" s="103">
        <v>24</v>
      </c>
      <c r="F219" s="224">
        <f>SUM(Table79222681196102108[[#This Row],[Persons]]/$C$15)</f>
        <v>2.4693898549233459E-3</v>
      </c>
      <c r="G219" s="228"/>
      <c r="H219" s="103">
        <f>Table79222681196102108[[#This Row],[Persons]]-Table79222681196102108[[#This Row],[2011 Census]]</f>
        <v>24</v>
      </c>
      <c r="I219" s="64" t="str">
        <f>IFERROR((Table79222681196102108[[#This Row],[Persons]]-Table79222681196102108[[#This Row],[2011 Census]])/Table79222681196102108[[#This Row],[2011 Census]],"..")</f>
        <v>..</v>
      </c>
    </row>
    <row r="220" spans="2:9">
      <c r="B220" s="646" t="s">
        <v>163</v>
      </c>
      <c r="C220" s="106">
        <v>6</v>
      </c>
      <c r="D220" s="106">
        <v>8</v>
      </c>
      <c r="E220" s="106">
        <v>16</v>
      </c>
      <c r="F220" s="226">
        <f>SUM(Table79222681196102108[[#This Row],[Persons]]/$C$15)</f>
        <v>1.6462599032822307E-3</v>
      </c>
      <c r="G220" s="227">
        <v>23</v>
      </c>
      <c r="H220" s="106">
        <f>Table79222681196102108[[#This Row],[Persons]]-Table79222681196102108[[#This Row],[2011 Census]]</f>
        <v>-7</v>
      </c>
      <c r="I220" s="54">
        <f>IFERROR((Table79222681196102108[[#This Row],[Persons]]-Table79222681196102108[[#This Row],[2011 Census]])/Table79222681196102108[[#This Row],[2011 Census]],"..")</f>
        <v>-0.30434782608695654</v>
      </c>
    </row>
    <row r="221" spans="2:9">
      <c r="B221" s="645" t="s">
        <v>167</v>
      </c>
      <c r="C221" s="103">
        <v>8</v>
      </c>
      <c r="D221" s="103">
        <v>11</v>
      </c>
      <c r="E221" s="103">
        <v>15</v>
      </c>
      <c r="F221" s="224">
        <f>SUM(Table79222681196102108[[#This Row],[Persons]]/$C$15)</f>
        <v>1.5433686593270912E-3</v>
      </c>
      <c r="G221" s="228">
        <v>41</v>
      </c>
      <c r="H221" s="103">
        <f>Table79222681196102108[[#This Row],[Persons]]-Table79222681196102108[[#This Row],[2011 Census]]</f>
        <v>-26</v>
      </c>
      <c r="I221" s="64">
        <f>IFERROR((Table79222681196102108[[#This Row],[Persons]]-Table79222681196102108[[#This Row],[2011 Census]])/Table79222681196102108[[#This Row],[2011 Census]],"..")</f>
        <v>-0.63414634146341464</v>
      </c>
    </row>
    <row r="222" spans="2:9">
      <c r="B222" s="646" t="s">
        <v>166</v>
      </c>
      <c r="C222" s="106">
        <v>8</v>
      </c>
      <c r="D222" s="106">
        <v>5</v>
      </c>
      <c r="E222" s="106">
        <v>13</v>
      </c>
      <c r="F222" s="226">
        <f>SUM(Table79222681196102108[[#This Row],[Persons]]/$C$15)</f>
        <v>1.3375861714168124E-3</v>
      </c>
      <c r="G222" s="227">
        <v>18</v>
      </c>
      <c r="H222" s="106">
        <f>Table79222681196102108[[#This Row],[Persons]]-Table79222681196102108[[#This Row],[2011 Census]]</f>
        <v>-5</v>
      </c>
      <c r="I222" s="54">
        <f>IFERROR((Table79222681196102108[[#This Row],[Persons]]-Table79222681196102108[[#This Row],[2011 Census]])/Table79222681196102108[[#This Row],[2011 Census]],"..")</f>
        <v>-0.27777777777777779</v>
      </c>
    </row>
    <row r="223" spans="2:9">
      <c r="B223" s="645" t="s">
        <v>159</v>
      </c>
      <c r="C223" s="103">
        <v>5</v>
      </c>
      <c r="D223" s="103">
        <v>7</v>
      </c>
      <c r="E223" s="103">
        <v>13</v>
      </c>
      <c r="F223" s="224">
        <f>SUM(Table79222681196102108[[#This Row],[Persons]]/$C$15)</f>
        <v>1.3375861714168124E-3</v>
      </c>
      <c r="G223" s="228">
        <v>33</v>
      </c>
      <c r="H223" s="103">
        <f>Table79222681196102108[[#This Row],[Persons]]-Table79222681196102108[[#This Row],[2011 Census]]</f>
        <v>-20</v>
      </c>
      <c r="I223" s="64">
        <f>IFERROR((Table79222681196102108[[#This Row],[Persons]]-Table79222681196102108[[#This Row],[2011 Census]])/Table79222681196102108[[#This Row],[2011 Census]],"..")</f>
        <v>-0.60606060606060608</v>
      </c>
    </row>
    <row r="224" spans="2:9">
      <c r="B224" s="646" t="s">
        <v>160</v>
      </c>
      <c r="C224" s="106">
        <v>3</v>
      </c>
      <c r="D224" s="106">
        <v>0</v>
      </c>
      <c r="E224" s="106">
        <v>10</v>
      </c>
      <c r="F224" s="226">
        <f>SUM(Table79222681196102108[[#This Row],[Persons]]/$C$15)</f>
        <v>1.0289124395513941E-3</v>
      </c>
      <c r="G224" s="227"/>
      <c r="H224" s="106">
        <f>Table79222681196102108[[#This Row],[Persons]]-Table79222681196102108[[#This Row],[2011 Census]]</f>
        <v>10</v>
      </c>
      <c r="I224" s="54" t="str">
        <f>IFERROR((Table79222681196102108[[#This Row],[Persons]]-Table79222681196102108[[#This Row],[2011 Census]])/Table79222681196102108[[#This Row],[2011 Census]],"..")</f>
        <v>..</v>
      </c>
    </row>
    <row r="225" spans="2:10">
      <c r="B225" s="158" t="s">
        <v>71</v>
      </c>
      <c r="C225" s="106">
        <v>195</v>
      </c>
      <c r="D225" s="106">
        <v>186</v>
      </c>
      <c r="E225" s="106">
        <v>380</v>
      </c>
      <c r="F225" s="226">
        <f>SUM(Table79222681196102108[[#This Row],[Persons]]/$C$15)</f>
        <v>3.9098672702952982E-2</v>
      </c>
      <c r="G225" s="227">
        <v>273</v>
      </c>
      <c r="H225" s="106">
        <f>Table79222681196102108[[#This Row],[Persons]]-Table79222681196102108[[#This Row],[2011 Census]]</f>
        <v>107</v>
      </c>
      <c r="I225" s="54">
        <f>IFERROR((Table79222681196102108[[#This Row],[Persons]]-Table79222681196102108[[#This Row],[2011 Census]])/Table79222681196102108[[#This Row],[2011 Census]],"..")</f>
        <v>0.39194139194139194</v>
      </c>
    </row>
    <row r="226" spans="2:10">
      <c r="B226" s="155" t="s">
        <v>58</v>
      </c>
      <c r="C226" s="103">
        <v>1210</v>
      </c>
      <c r="D226" s="103">
        <v>1027</v>
      </c>
      <c r="E226" s="103">
        <v>2244</v>
      </c>
      <c r="F226" s="224">
        <f>SUM(Table79222681196102108[[#This Row],[Persons]]/$C$15)</f>
        <v>0.23088795143533286</v>
      </c>
      <c r="G226" s="228">
        <v>1277</v>
      </c>
      <c r="H226" s="103">
        <f>Table79222681196102108[[#This Row],[Persons]]-Table79222681196102108[[#This Row],[2011 Census]]</f>
        <v>967</v>
      </c>
      <c r="I226" s="64">
        <f>IFERROR((Table79222681196102108[[#This Row],[Persons]]-Table79222681196102108[[#This Row],[2011 Census]])/Table79222681196102108[[#This Row],[2011 Census]],"..")</f>
        <v>0.75724353954581047</v>
      </c>
    </row>
    <row r="227" spans="2:10" ht="15.75">
      <c r="B227" s="115" t="s">
        <v>72</v>
      </c>
      <c r="C227" s="229" t="s">
        <v>310</v>
      </c>
      <c r="D227" s="229" t="s">
        <v>311</v>
      </c>
      <c r="E227" s="116">
        <f>C15</f>
        <v>9719</v>
      </c>
      <c r="F227" s="230" t="s">
        <v>22</v>
      </c>
      <c r="G227" s="116">
        <f>E15</f>
        <v>9186</v>
      </c>
      <c r="H227" s="229">
        <f>SUM(Table79222681196102108[[#Totals],[Persons]]-Table79222681196102108[[#Totals],[2011 Census]])</f>
        <v>533</v>
      </c>
      <c r="I227" s="647">
        <f>SUM((Table79222681196102108[[#Totals],[Persons]]-Table79222681196102108[[#Totals],[2011 Census]])/Table79222681196102108[[#Totals],[2011 Census]])</f>
        <v>5.8023078597866318E-2</v>
      </c>
    </row>
    <row r="228" spans="2:10" ht="15.75">
      <c r="B228" s="114"/>
      <c r="C228" s="114"/>
      <c r="D228" s="114"/>
      <c r="E228" s="114"/>
      <c r="F228" s="114"/>
      <c r="G228" s="114"/>
      <c r="H228" s="114"/>
      <c r="I228" s="114"/>
    </row>
    <row r="229" spans="2:10" ht="23.25">
      <c r="B229" s="127" t="s">
        <v>718</v>
      </c>
    </row>
    <row r="230" spans="2:10" ht="15.75">
      <c r="B230" s="937" t="s">
        <v>827</v>
      </c>
    </row>
    <row r="231" spans="2:10" ht="25.5">
      <c r="B231" s="173" t="s">
        <v>64</v>
      </c>
      <c r="C231" s="222" t="s">
        <v>66</v>
      </c>
      <c r="D231" s="222" t="s">
        <v>67</v>
      </c>
      <c r="E231" s="222" t="s">
        <v>58</v>
      </c>
      <c r="F231" s="233" t="s">
        <v>68</v>
      </c>
      <c r="G231" s="233" t="s">
        <v>24</v>
      </c>
      <c r="H231" s="233" t="s">
        <v>25</v>
      </c>
      <c r="I231" s="233" t="s">
        <v>69</v>
      </c>
      <c r="J231" s="233" t="s">
        <v>27</v>
      </c>
    </row>
    <row r="232" spans="2:10">
      <c r="B232" s="155" t="s">
        <v>149</v>
      </c>
      <c r="C232" s="103">
        <v>2702</v>
      </c>
      <c r="D232" s="103">
        <v>276</v>
      </c>
      <c r="E232" s="103">
        <v>70</v>
      </c>
      <c r="F232" s="234">
        <v>858</v>
      </c>
      <c r="G232" s="235">
        <v>469</v>
      </c>
      <c r="H232" s="235">
        <v>1020</v>
      </c>
      <c r="I232" s="236">
        <v>579</v>
      </c>
      <c r="J232" s="235">
        <v>125</v>
      </c>
    </row>
    <row r="233" spans="2:10">
      <c r="B233" s="158" t="s">
        <v>150</v>
      </c>
      <c r="C233" s="106">
        <v>1339</v>
      </c>
      <c r="D233" s="106">
        <v>357</v>
      </c>
      <c r="E233" s="106">
        <v>37</v>
      </c>
      <c r="F233" s="237">
        <v>381</v>
      </c>
      <c r="G233" s="238">
        <v>225</v>
      </c>
      <c r="H233" s="238">
        <v>537</v>
      </c>
      <c r="I233" s="239">
        <v>433</v>
      </c>
      <c r="J233" s="238">
        <v>153</v>
      </c>
    </row>
    <row r="234" spans="2:10">
      <c r="B234" s="155" t="s">
        <v>151</v>
      </c>
      <c r="C234" s="103">
        <v>805</v>
      </c>
      <c r="D234" s="103">
        <v>113</v>
      </c>
      <c r="E234" s="103">
        <v>35</v>
      </c>
      <c r="F234" s="240">
        <v>148</v>
      </c>
      <c r="G234" s="241">
        <v>70</v>
      </c>
      <c r="H234" s="241">
        <v>230</v>
      </c>
      <c r="I234" s="242">
        <v>351</v>
      </c>
      <c r="J234" s="241">
        <v>156</v>
      </c>
    </row>
    <row r="235" spans="2:10">
      <c r="B235" s="158" t="s">
        <v>153</v>
      </c>
      <c r="C235" s="106">
        <v>267</v>
      </c>
      <c r="D235" s="106">
        <v>21</v>
      </c>
      <c r="E235" s="106">
        <v>9</v>
      </c>
      <c r="F235" s="237">
        <v>61</v>
      </c>
      <c r="G235" s="238">
        <v>28</v>
      </c>
      <c r="H235" s="238">
        <v>66</v>
      </c>
      <c r="I235" s="239">
        <v>109</v>
      </c>
      <c r="J235" s="238">
        <v>35</v>
      </c>
    </row>
    <row r="236" spans="2:10">
      <c r="B236" s="155" t="s">
        <v>154</v>
      </c>
      <c r="C236" s="103">
        <v>197</v>
      </c>
      <c r="D236" s="103">
        <v>36</v>
      </c>
      <c r="E236" s="103">
        <v>4</v>
      </c>
      <c r="F236" s="240">
        <v>61</v>
      </c>
      <c r="G236" s="241">
        <v>26</v>
      </c>
      <c r="H236" s="241">
        <v>79</v>
      </c>
      <c r="I236" s="242">
        <v>55</v>
      </c>
      <c r="J236" s="241">
        <v>13</v>
      </c>
    </row>
    <row r="237" spans="2:10">
      <c r="B237" s="158" t="s">
        <v>162</v>
      </c>
      <c r="C237" s="106">
        <v>159</v>
      </c>
      <c r="D237" s="106">
        <v>20</v>
      </c>
      <c r="E237" s="106">
        <v>0</v>
      </c>
      <c r="F237" s="237">
        <v>47</v>
      </c>
      <c r="G237" s="238">
        <v>34</v>
      </c>
      <c r="H237" s="238">
        <v>49</v>
      </c>
      <c r="I237" s="239">
        <v>41</v>
      </c>
      <c r="J237" s="238">
        <v>9</v>
      </c>
    </row>
    <row r="238" spans="2:10">
      <c r="B238" s="155" t="s">
        <v>157</v>
      </c>
      <c r="C238" s="103">
        <v>91</v>
      </c>
      <c r="D238" s="103">
        <v>27</v>
      </c>
      <c r="E238" s="103">
        <v>0</v>
      </c>
      <c r="F238" s="240">
        <v>8</v>
      </c>
      <c r="G238" s="241">
        <v>3</v>
      </c>
      <c r="H238" s="241">
        <v>21</v>
      </c>
      <c r="I238" s="242">
        <v>55</v>
      </c>
      <c r="J238" s="241">
        <v>39</v>
      </c>
    </row>
    <row r="239" spans="2:10">
      <c r="B239" s="158" t="s">
        <v>155</v>
      </c>
      <c r="C239" s="106">
        <v>80</v>
      </c>
      <c r="D239" s="106">
        <v>7</v>
      </c>
      <c r="E239" s="106">
        <v>4</v>
      </c>
      <c r="F239" s="237">
        <v>17</v>
      </c>
      <c r="G239" s="238">
        <v>15</v>
      </c>
      <c r="H239" s="238">
        <v>34</v>
      </c>
      <c r="I239" s="239">
        <v>29</v>
      </c>
      <c r="J239" s="238">
        <v>6</v>
      </c>
    </row>
    <row r="240" spans="2:10">
      <c r="B240" s="155" t="s">
        <v>156</v>
      </c>
      <c r="C240" s="103">
        <v>43</v>
      </c>
      <c r="D240" s="103">
        <v>45</v>
      </c>
      <c r="E240" s="103">
        <v>0</v>
      </c>
      <c r="F240" s="240">
        <v>11</v>
      </c>
      <c r="G240" s="241">
        <v>5</v>
      </c>
      <c r="H240" s="241">
        <v>42</v>
      </c>
      <c r="I240" s="242">
        <v>15</v>
      </c>
      <c r="J240" s="241">
        <v>5</v>
      </c>
    </row>
    <row r="241" spans="2:10">
      <c r="B241" s="158" t="s">
        <v>158</v>
      </c>
      <c r="C241" s="106">
        <v>13</v>
      </c>
      <c r="D241" s="106">
        <v>55</v>
      </c>
      <c r="E241" s="106">
        <v>0</v>
      </c>
      <c r="F241" s="237">
        <v>19</v>
      </c>
      <c r="G241" s="238">
        <v>0</v>
      </c>
      <c r="H241" s="238">
        <v>50</v>
      </c>
      <c r="I241" s="239">
        <v>5</v>
      </c>
      <c r="J241" s="238">
        <v>0</v>
      </c>
    </row>
    <row r="242" spans="2:10">
      <c r="B242" s="155" t="s">
        <v>152</v>
      </c>
      <c r="C242" s="103">
        <v>57</v>
      </c>
      <c r="D242" s="103">
        <v>7</v>
      </c>
      <c r="E242" s="103">
        <v>0</v>
      </c>
      <c r="F242" s="240">
        <v>9</v>
      </c>
      <c r="G242" s="241">
        <v>0</v>
      </c>
      <c r="H242" s="241">
        <v>23</v>
      </c>
      <c r="I242" s="242">
        <v>25</v>
      </c>
      <c r="J242" s="241">
        <v>12</v>
      </c>
    </row>
    <row r="243" spans="2:10">
      <c r="B243" s="158" t="s">
        <v>161</v>
      </c>
      <c r="C243" s="106">
        <v>12</v>
      </c>
      <c r="D243" s="106">
        <v>23</v>
      </c>
      <c r="E243" s="106">
        <v>4</v>
      </c>
      <c r="F243" s="237">
        <v>11</v>
      </c>
      <c r="G243" s="238">
        <v>6</v>
      </c>
      <c r="H243" s="238">
        <v>15</v>
      </c>
      <c r="I243" s="239">
        <v>7</v>
      </c>
      <c r="J243" s="238">
        <v>0</v>
      </c>
    </row>
    <row r="244" spans="2:10">
      <c r="B244" s="155" t="s">
        <v>168</v>
      </c>
      <c r="C244" s="103">
        <v>21</v>
      </c>
      <c r="D244" s="103">
        <v>9</v>
      </c>
      <c r="E244" s="103">
        <v>3</v>
      </c>
      <c r="F244" s="240">
        <v>7</v>
      </c>
      <c r="G244" s="241">
        <v>4</v>
      </c>
      <c r="H244" s="241">
        <v>6</v>
      </c>
      <c r="I244" s="242">
        <v>8</v>
      </c>
      <c r="J244" s="241">
        <v>7</v>
      </c>
    </row>
    <row r="245" spans="2:10">
      <c r="B245" s="158" t="s">
        <v>164</v>
      </c>
      <c r="C245" s="106">
        <v>29</v>
      </c>
      <c r="D245" s="106">
        <v>0</v>
      </c>
      <c r="E245" s="106">
        <v>0</v>
      </c>
      <c r="F245" s="237">
        <v>16</v>
      </c>
      <c r="G245" s="238">
        <v>0</v>
      </c>
      <c r="H245" s="238">
        <v>10</v>
      </c>
      <c r="I245" s="239">
        <v>9</v>
      </c>
      <c r="J245" s="238">
        <v>0</v>
      </c>
    </row>
    <row r="246" spans="2:10">
      <c r="B246" s="155" t="s">
        <v>165</v>
      </c>
      <c r="C246" s="103">
        <v>21</v>
      </c>
      <c r="D246" s="103">
        <v>5</v>
      </c>
      <c r="E246" s="103">
        <v>0</v>
      </c>
      <c r="F246" s="240">
        <v>0</v>
      </c>
      <c r="G246" s="241">
        <v>7</v>
      </c>
      <c r="H246" s="241">
        <v>14</v>
      </c>
      <c r="I246" s="242">
        <v>4</v>
      </c>
      <c r="J246" s="241">
        <v>0</v>
      </c>
    </row>
    <row r="247" spans="2:10">
      <c r="B247" s="158" t="s">
        <v>163</v>
      </c>
      <c r="C247" s="106">
        <v>5</v>
      </c>
      <c r="D247" s="106">
        <v>9</v>
      </c>
      <c r="E247" s="106">
        <v>0</v>
      </c>
      <c r="F247" s="237">
        <v>0</v>
      </c>
      <c r="G247" s="238">
        <v>6</v>
      </c>
      <c r="H247" s="238">
        <v>3</v>
      </c>
      <c r="I247" s="239">
        <v>6</v>
      </c>
      <c r="J247" s="238">
        <v>0</v>
      </c>
    </row>
    <row r="248" spans="2:10">
      <c r="B248" s="155" t="s">
        <v>167</v>
      </c>
      <c r="C248" s="103">
        <v>15</v>
      </c>
      <c r="D248" s="103">
        <v>0</v>
      </c>
      <c r="E248" s="103">
        <v>0</v>
      </c>
      <c r="F248" s="240">
        <v>0</v>
      </c>
      <c r="G248" s="241">
        <v>0</v>
      </c>
      <c r="H248" s="241">
        <v>0</v>
      </c>
      <c r="I248" s="242">
        <v>8</v>
      </c>
      <c r="J248" s="241">
        <v>9</v>
      </c>
    </row>
    <row r="249" spans="2:10">
      <c r="B249" s="158" t="s">
        <v>159</v>
      </c>
      <c r="C249" s="106">
        <v>10</v>
      </c>
      <c r="D249" s="106">
        <v>3</v>
      </c>
      <c r="E249" s="106">
        <v>0</v>
      </c>
      <c r="F249" s="237">
        <v>0</v>
      </c>
      <c r="G249" s="238">
        <v>5</v>
      </c>
      <c r="H249" s="238">
        <v>6</v>
      </c>
      <c r="I249" s="239">
        <v>8</v>
      </c>
      <c r="J249" s="238">
        <v>0</v>
      </c>
    </row>
    <row r="250" spans="2:10">
      <c r="B250" s="155" t="s">
        <v>166</v>
      </c>
      <c r="C250" s="103">
        <v>7</v>
      </c>
      <c r="D250" s="103">
        <v>4</v>
      </c>
      <c r="E250" s="103">
        <v>0</v>
      </c>
      <c r="F250" s="240">
        <v>0</v>
      </c>
      <c r="G250" s="241">
        <v>0</v>
      </c>
      <c r="H250" s="241">
        <v>7</v>
      </c>
      <c r="I250" s="242">
        <v>3</v>
      </c>
      <c r="J250" s="241">
        <v>0</v>
      </c>
    </row>
    <row r="251" spans="2:10">
      <c r="B251" s="158" t="s">
        <v>160</v>
      </c>
      <c r="C251" s="106">
        <v>3</v>
      </c>
      <c r="D251" s="106">
        <v>4</v>
      </c>
      <c r="E251" s="106">
        <v>0</v>
      </c>
      <c r="F251" s="237">
        <v>3</v>
      </c>
      <c r="G251" s="238">
        <v>0</v>
      </c>
      <c r="H251" s="238">
        <v>4</v>
      </c>
      <c r="I251" s="239">
        <v>0</v>
      </c>
      <c r="J251" s="238">
        <v>0</v>
      </c>
    </row>
    <row r="252" spans="2:10">
      <c r="B252" s="158" t="s">
        <v>71</v>
      </c>
      <c r="C252" s="106">
        <v>294</v>
      </c>
      <c r="D252" s="106">
        <v>79</v>
      </c>
      <c r="E252" s="106">
        <v>8</v>
      </c>
      <c r="F252" s="237">
        <v>80</v>
      </c>
      <c r="G252" s="238">
        <v>51</v>
      </c>
      <c r="H252" s="238">
        <v>137</v>
      </c>
      <c r="I252" s="239">
        <v>84</v>
      </c>
      <c r="J252" s="238">
        <v>25</v>
      </c>
    </row>
    <row r="253" spans="2:10">
      <c r="B253" s="158" t="s">
        <v>58</v>
      </c>
      <c r="C253" s="106">
        <v>397</v>
      </c>
      <c r="D253" s="106">
        <v>44</v>
      </c>
      <c r="E253" s="106">
        <v>1810</v>
      </c>
      <c r="F253" s="237">
        <v>438</v>
      </c>
      <c r="G253" s="238">
        <v>258</v>
      </c>
      <c r="H253" s="238">
        <v>678</v>
      </c>
      <c r="I253" s="239">
        <v>631</v>
      </c>
      <c r="J253" s="238">
        <v>236</v>
      </c>
    </row>
    <row r="254" spans="2:10" ht="15.75">
      <c r="B254" s="115" t="s">
        <v>72</v>
      </c>
      <c r="C254" s="229"/>
      <c r="D254" s="229"/>
      <c r="E254" s="229"/>
      <c r="F254" s="695" t="s">
        <v>276</v>
      </c>
      <c r="G254" s="696" t="s">
        <v>277</v>
      </c>
      <c r="H254" s="696" t="s">
        <v>278</v>
      </c>
      <c r="I254" s="696" t="s">
        <v>279</v>
      </c>
      <c r="J254" s="696" t="s">
        <v>280</v>
      </c>
    </row>
    <row r="255" spans="2:10">
      <c r="J255" s="180"/>
    </row>
    <row r="256" spans="2:10">
      <c r="J256" s="183"/>
    </row>
    <row r="257" spans="2:11" ht="15.75">
      <c r="K257" s="285" t="s">
        <v>642</v>
      </c>
    </row>
    <row r="258" spans="2:11" ht="15.75">
      <c r="B258" s="499" t="s">
        <v>857</v>
      </c>
      <c r="C258" s="500"/>
      <c r="D258" s="500"/>
      <c r="E258" s="500"/>
      <c r="F258" s="500"/>
      <c r="G258" s="500"/>
      <c r="H258" s="500"/>
      <c r="I258" s="500"/>
      <c r="J258" s="501"/>
    </row>
    <row r="259" spans="2:11" ht="15.75">
      <c r="B259" s="502" t="s">
        <v>424</v>
      </c>
      <c r="C259" s="503"/>
      <c r="D259" s="503"/>
      <c r="E259" s="503"/>
      <c r="F259" s="503"/>
      <c r="G259" s="503"/>
      <c r="H259" s="503"/>
      <c r="I259" s="503"/>
      <c r="J259" s="504"/>
    </row>
    <row r="260" spans="2:11" ht="15.75">
      <c r="B260" s="505" t="s">
        <v>824</v>
      </c>
      <c r="C260" s="506"/>
      <c r="D260" s="506"/>
      <c r="E260" s="506"/>
      <c r="F260" s="506"/>
      <c r="G260" s="506"/>
      <c r="H260" s="506"/>
      <c r="I260" s="506"/>
      <c r="J260" s="507"/>
    </row>
  </sheetData>
  <sheetProtection algorithmName="SHA-512" hashValue="bVqwTvAt8uBYCs2CyTR1AYyoXefDMoRJERd1Mxfp/rf/J6aGqADXDi+DKv6McaDn1OpuuXZ6radZYJ94+7VXUQ==" saltValue="a2vJZ9IGwv6XHGgV+9D1Tg==" spinCount="100000" sheet="1" objects="1" scenarios="1"/>
  <mergeCells count="25">
    <mergeCell ref="J1:K1"/>
    <mergeCell ref="I41:J41"/>
    <mergeCell ref="I30:J30"/>
    <mergeCell ref="I31:J31"/>
    <mergeCell ref="I32:J32"/>
    <mergeCell ref="I33:J33"/>
    <mergeCell ref="I34:J34"/>
    <mergeCell ref="I35:J35"/>
    <mergeCell ref="I36:J36"/>
    <mergeCell ref="I37:J37"/>
    <mergeCell ref="I38:J38"/>
    <mergeCell ref="I39:J39"/>
    <mergeCell ref="I40:J40"/>
    <mergeCell ref="I42:J42"/>
    <mergeCell ref="I43:J43"/>
    <mergeCell ref="I44:J44"/>
    <mergeCell ref="I45:J45"/>
    <mergeCell ref="I46:J46"/>
    <mergeCell ref="I47:J47"/>
    <mergeCell ref="I48:J48"/>
    <mergeCell ref="I49:J49"/>
    <mergeCell ref="I50:J50"/>
    <mergeCell ref="C188:F188"/>
    <mergeCell ref="I51:J51"/>
    <mergeCell ref="I52:J52"/>
  </mergeCells>
  <hyperlinks>
    <hyperlink ref="J1:K1" location="'Index '!A1" display="Back to Index"/>
    <hyperlink ref="K257" location="'3.9 Katherine'!K1" display="Back to top"/>
  </hyperlinks>
  <pageMargins left="0.35433070866141736" right="3.937007874015748E-2" top="0.51181102362204722" bottom="0.35433070866141736" header="0.11811023622047245" footer="0.11811023622047245"/>
  <pageSetup paperSize="9" scale="56" fitToHeight="10" orientation="portrait" horizontalDpi="300" verticalDpi="300" r:id="rId1"/>
  <headerFooter differentFirst="1" alignWithMargins="0">
    <oddHeader>&amp;L&amp;"Helvetica Bold,Bold"&amp;18&amp;K000000X LGA (Continued)</oddHeader>
  </headerFooter>
  <drawing r:id="rId2"/>
  <tableParts count="6">
    <tablePart r:id="rId3"/>
    <tablePart r:id="rId4"/>
    <tablePart r:id="rId5"/>
    <tablePart r:id="rId6"/>
    <tablePart r:id="rId7"/>
    <tablePart r:id="rId8"/>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66"/>
  <sheetViews>
    <sheetView showGridLines="0" workbookViewId="0">
      <selection activeCell="L20" sqref="L20"/>
    </sheetView>
  </sheetViews>
  <sheetFormatPr defaultColWidth="8.875" defaultRowHeight="15"/>
  <cols>
    <col min="1" max="1" width="5.875" style="698" customWidth="1"/>
    <col min="2" max="2" width="40.875" style="698" customWidth="1"/>
    <col min="3" max="11" width="10.875" style="698" customWidth="1"/>
    <col min="12" max="16384" width="8.875" style="698"/>
  </cols>
  <sheetData>
    <row r="1" spans="1:11" ht="18.75">
      <c r="A1" s="697"/>
      <c r="J1" s="1229" t="s">
        <v>359</v>
      </c>
      <c r="K1" s="1229"/>
    </row>
    <row r="2" spans="1:11" s="149" customFormat="1" ht="30">
      <c r="A2" s="120"/>
      <c r="B2" s="333" t="s">
        <v>909</v>
      </c>
      <c r="C2" s="120"/>
      <c r="D2" s="120"/>
      <c r="E2" s="120"/>
      <c r="F2" s="120"/>
      <c r="G2" s="650"/>
      <c r="H2" s="650"/>
      <c r="I2" s="650"/>
      <c r="J2" s="650"/>
      <c r="K2" s="650"/>
    </row>
    <row r="3" spans="1:11" s="699" customFormat="1" ht="15.75">
      <c r="B3" s="700"/>
      <c r="C3" s="700"/>
      <c r="D3" s="700"/>
      <c r="E3" s="700"/>
      <c r="F3" s="700"/>
      <c r="G3" s="701"/>
      <c r="H3" s="701"/>
      <c r="I3" s="701"/>
      <c r="J3" s="701"/>
      <c r="K3" s="701"/>
    </row>
    <row r="4" spans="1:11" s="699" customFormat="1" ht="15.75">
      <c r="B4" s="700"/>
      <c r="C4" s="700"/>
      <c r="D4" s="700"/>
      <c r="E4" s="700"/>
      <c r="F4" s="700"/>
      <c r="G4" s="701"/>
      <c r="H4" s="701"/>
      <c r="I4" s="701"/>
      <c r="J4" s="701"/>
      <c r="K4" s="701"/>
    </row>
    <row r="5" spans="1:11" ht="15.75">
      <c r="B5" s="700"/>
      <c r="C5" s="700"/>
      <c r="D5" s="700"/>
      <c r="E5" s="702"/>
      <c r="F5" s="702"/>
      <c r="G5" s="328"/>
      <c r="H5" s="328"/>
      <c r="I5" s="328"/>
      <c r="J5" s="328"/>
      <c r="K5" s="328"/>
    </row>
    <row r="6" spans="1:11" ht="15.75">
      <c r="B6" s="703"/>
      <c r="C6" s="704"/>
      <c r="D6" s="700"/>
      <c r="E6" s="702"/>
      <c r="F6" s="702"/>
      <c r="G6" s="328"/>
      <c r="H6" s="328"/>
      <c r="I6" s="328"/>
      <c r="J6" s="328"/>
      <c r="K6" s="328"/>
    </row>
    <row r="7" spans="1:11" ht="15.75">
      <c r="B7" s="705"/>
      <c r="C7" s="704"/>
      <c r="D7" s="700"/>
      <c r="E7" s="702"/>
      <c r="F7" s="702"/>
      <c r="G7" s="328"/>
      <c r="H7" s="328"/>
      <c r="I7" s="328"/>
      <c r="J7" s="328"/>
      <c r="K7" s="328"/>
    </row>
    <row r="8" spans="1:11" ht="15.75">
      <c r="B8" s="705"/>
      <c r="C8" s="704"/>
      <c r="D8" s="700"/>
      <c r="E8" s="702"/>
      <c r="F8" s="702"/>
      <c r="G8" s="328"/>
      <c r="H8" s="328"/>
      <c r="I8" s="328"/>
      <c r="J8" s="328"/>
      <c r="K8" s="328"/>
    </row>
    <row r="9" spans="1:11" ht="15.75">
      <c r="B9" s="705"/>
      <c r="C9" s="704"/>
      <c r="D9" s="700"/>
      <c r="E9" s="702"/>
      <c r="F9" s="702"/>
      <c r="G9" s="328"/>
      <c r="H9" s="328"/>
      <c r="I9" s="328"/>
      <c r="J9" s="328"/>
      <c r="K9" s="328"/>
    </row>
    <row r="10" spans="1:11" ht="15.75">
      <c r="C10" s="328"/>
      <c r="D10" s="328"/>
      <c r="E10" s="328"/>
      <c r="F10" s="328"/>
      <c r="G10" s="328"/>
      <c r="H10" s="328"/>
      <c r="I10" s="328"/>
      <c r="J10" s="328"/>
      <c r="K10" s="328"/>
    </row>
    <row r="11" spans="1:11" ht="23.25">
      <c r="B11" s="127" t="s">
        <v>719</v>
      </c>
      <c r="J11" s="938"/>
    </row>
    <row r="12" spans="1:11" ht="26.25">
      <c r="B12" s="706" t="s">
        <v>0</v>
      </c>
      <c r="C12" s="707" t="s">
        <v>6</v>
      </c>
      <c r="D12" s="939" t="s">
        <v>1</v>
      </c>
      <c r="E12" s="707" t="s">
        <v>7</v>
      </c>
      <c r="F12" s="707" t="s">
        <v>361</v>
      </c>
      <c r="G12" s="707" t="s">
        <v>8</v>
      </c>
      <c r="H12" s="940"/>
      <c r="I12" s="703"/>
      <c r="J12" s="708"/>
      <c r="K12" s="708"/>
    </row>
    <row r="13" spans="1:11" ht="15" customHeight="1">
      <c r="B13" s="709" t="s">
        <v>9</v>
      </c>
      <c r="C13" s="710">
        <v>23857</v>
      </c>
      <c r="D13" s="941">
        <f>C13/$C$13*100</f>
        <v>100</v>
      </c>
      <c r="E13" s="942">
        <v>18994</v>
      </c>
      <c r="F13" s="942">
        <f>(Table42[[#This Row],[Persons]]-Table42[[#This Row],[2011 Census]])</f>
        <v>4863</v>
      </c>
      <c r="G13" s="943">
        <f>(Table42[[#This Row],[Persons]]-Table42[[#This Row],[2011 Census]])/Table42[[#This Row],[2011 Census]]</f>
        <v>0.2560282194377172</v>
      </c>
      <c r="H13" s="944"/>
      <c r="I13" s="714"/>
      <c r="J13" s="715"/>
      <c r="K13" s="715"/>
    </row>
    <row r="14" spans="1:11" ht="15" customHeight="1">
      <c r="B14" s="716" t="s">
        <v>2</v>
      </c>
      <c r="C14" s="717">
        <v>16862</v>
      </c>
      <c r="D14" s="945">
        <f t="shared" ref="D14:D23" si="0">C14/$C$13*100</f>
        <v>70.67946514649789</v>
      </c>
      <c r="E14" s="942">
        <v>14163</v>
      </c>
      <c r="F14" s="942">
        <f>(Table42[[#This Row],[Persons]]-Table42[[#This Row],[2011 Census]])</f>
        <v>2699</v>
      </c>
      <c r="G14" s="943">
        <f>(Table42[[#This Row],[Persons]]-Table42[[#This Row],[2011 Census]])/Table42[[#This Row],[2011 Census]]</f>
        <v>0.19056697027465933</v>
      </c>
      <c r="H14" s="944"/>
      <c r="I14" s="714"/>
      <c r="J14" s="715"/>
      <c r="K14" s="715"/>
    </row>
    <row r="15" spans="1:11" ht="15" customHeight="1">
      <c r="B15" s="716" t="s">
        <v>362</v>
      </c>
      <c r="C15" s="720">
        <v>3029</v>
      </c>
      <c r="D15" s="945">
        <f t="shared" si="0"/>
        <v>12.696483212474327</v>
      </c>
      <c r="E15" s="942">
        <v>2333</v>
      </c>
      <c r="F15" s="942">
        <f>(Table42[[#This Row],[Persons]]-Table42[[#This Row],[2011 Census]])</f>
        <v>696</v>
      </c>
      <c r="G15" s="943">
        <f>(Table42[[#This Row],[Persons]]-Table42[[#This Row],[2011 Census]])/Table42[[#This Row],[2011 Census]]</f>
        <v>0.29832833261894559</v>
      </c>
      <c r="H15" s="944"/>
      <c r="I15" s="714"/>
    </row>
    <row r="16" spans="1:11" ht="15" customHeight="1">
      <c r="B16" s="716" t="s">
        <v>3</v>
      </c>
      <c r="C16" s="717">
        <v>3966</v>
      </c>
      <c r="D16" s="945">
        <f t="shared" si="0"/>
        <v>16.624051641027791</v>
      </c>
      <c r="E16" s="942">
        <v>2499</v>
      </c>
      <c r="F16" s="942">
        <f>(Table42[[#This Row],[Persons]]-Table42[[#This Row],[2011 Census]])</f>
        <v>1467</v>
      </c>
      <c r="G16" s="943">
        <f>(Table42[[#This Row],[Persons]]-Table42[[#This Row],[2011 Census]])/Table42[[#This Row],[2011 Census]]</f>
        <v>0.58703481392557022</v>
      </c>
      <c r="H16" s="944"/>
      <c r="I16" s="714"/>
    </row>
    <row r="17" spans="2:11" ht="15" customHeight="1">
      <c r="B17" s="721" t="s">
        <v>4</v>
      </c>
      <c r="C17" s="717">
        <v>1522</v>
      </c>
      <c r="D17" s="945">
        <f t="shared" si="0"/>
        <v>6.3796789202330544</v>
      </c>
      <c r="E17" s="942">
        <v>1241</v>
      </c>
      <c r="F17" s="942">
        <f>(Table42[[#This Row],[Persons]]-Table42[[#This Row],[2011 Census]])</f>
        <v>281</v>
      </c>
      <c r="G17" s="943">
        <f>(Table42[[#This Row],[Persons]]-Table42[[#This Row],[2011 Census]])/Table42[[#This Row],[2011 Census]]</f>
        <v>0.22643029814665591</v>
      </c>
      <c r="H17" s="944"/>
      <c r="I17" s="714"/>
    </row>
    <row r="18" spans="2:11" ht="15" customHeight="1">
      <c r="B18" s="946" t="s">
        <v>395</v>
      </c>
      <c r="C18" s="717">
        <f>C15-C17</f>
        <v>1507</v>
      </c>
      <c r="D18" s="945">
        <f t="shared" si="0"/>
        <v>6.3168042922412706</v>
      </c>
      <c r="E18" s="942">
        <v>1092</v>
      </c>
      <c r="F18" s="942">
        <f>(Table42[[#This Row],[Persons]]-Table42[[#This Row],[2011 Census]])</f>
        <v>415</v>
      </c>
      <c r="G18" s="943">
        <f>(Table42[[#This Row],[Persons]]-Table42[[#This Row],[2011 Census]])/Table42[[#This Row],[2011 Census]]</f>
        <v>0.38003663003663002</v>
      </c>
      <c r="H18" s="944"/>
      <c r="I18" s="714"/>
    </row>
    <row r="19" spans="2:11" ht="15" customHeight="1">
      <c r="B19" s="716" t="s">
        <v>11</v>
      </c>
      <c r="C19" s="717">
        <v>1927</v>
      </c>
      <c r="D19" s="945">
        <f t="shared" si="0"/>
        <v>8.0772938760112343</v>
      </c>
      <c r="E19" s="942">
        <v>1689</v>
      </c>
      <c r="F19" s="942">
        <f>(Table42[[#This Row],[Persons]]-Table42[[#This Row],[2011 Census]])</f>
        <v>238</v>
      </c>
      <c r="G19" s="943">
        <f>(Table42[[#This Row],[Persons]]-Table42[[#This Row],[2011 Census]])/Table42[[#This Row],[2011 Census]]</f>
        <v>0.1409117821195974</v>
      </c>
      <c r="H19" s="944"/>
      <c r="I19" s="714"/>
    </row>
    <row r="20" spans="2:11" ht="15" customHeight="1">
      <c r="B20" s="716" t="s">
        <v>12</v>
      </c>
      <c r="C20" s="717">
        <v>2308</v>
      </c>
      <c r="D20" s="945">
        <f t="shared" si="0"/>
        <v>9.6743094270025569</v>
      </c>
      <c r="E20" s="942">
        <v>1358</v>
      </c>
      <c r="F20" s="942">
        <f>(Table42[[#This Row],[Persons]]-Table42[[#This Row],[2011 Census]])</f>
        <v>950</v>
      </c>
      <c r="G20" s="943">
        <f>(Table42[[#This Row],[Persons]]-Table42[[#This Row],[2011 Census]])/Table42[[#This Row],[2011 Census]]</f>
        <v>0.69955817378497787</v>
      </c>
      <c r="H20" s="944"/>
      <c r="I20" s="714"/>
    </row>
    <row r="21" spans="2:11" ht="15" customHeight="1">
      <c r="B21" s="716" t="s">
        <v>13</v>
      </c>
      <c r="C21" s="717">
        <v>1411</v>
      </c>
      <c r="D21" s="945">
        <f t="shared" si="0"/>
        <v>5.9144066730938505</v>
      </c>
      <c r="E21" s="942">
        <v>1021</v>
      </c>
      <c r="F21" s="942">
        <f>(Table42[[#This Row],[Persons]]-Table42[[#This Row],[2011 Census]])</f>
        <v>390</v>
      </c>
      <c r="G21" s="943">
        <f>(Table42[[#This Row],[Persons]]-Table42[[#This Row],[2011 Census]])/Table42[[#This Row],[2011 Census]]</f>
        <v>0.38197845249755141</v>
      </c>
      <c r="H21" s="944"/>
      <c r="I21" s="714"/>
    </row>
    <row r="22" spans="2:11" ht="15" customHeight="1">
      <c r="B22" s="262" t="s">
        <v>869</v>
      </c>
      <c r="C22" s="719">
        <v>381</v>
      </c>
      <c r="D22" s="945">
        <f t="shared" si="0"/>
        <v>1.5970155509913233</v>
      </c>
      <c r="E22" s="722">
        <v>221</v>
      </c>
      <c r="F22" s="722">
        <f>(Table42[[#This Row],[Persons]]-Table42[[#This Row],[2011 Census]])</f>
        <v>160</v>
      </c>
      <c r="G22" s="943">
        <f>(Table42[[#This Row],[Persons]]-Table42[[#This Row],[2011 Census]])/Table42[[#This Row],[2011 Census]]</f>
        <v>0.72398190045248867</v>
      </c>
      <c r="H22" s="944"/>
      <c r="I22" s="714"/>
    </row>
    <row r="23" spans="2:11" ht="15" customHeight="1">
      <c r="B23" s="262" t="s">
        <v>870</v>
      </c>
      <c r="C23" s="719">
        <v>245</v>
      </c>
      <c r="D23" s="945">
        <f t="shared" si="0"/>
        <v>1.026952257199145</v>
      </c>
      <c r="E23" s="722">
        <v>130</v>
      </c>
      <c r="F23" s="722">
        <f>(Table42[[#This Row],[Persons]]-Table42[[#This Row],[2011 Census]])</f>
        <v>115</v>
      </c>
      <c r="G23" s="943">
        <f>(Table42[[#This Row],[Persons]]-Table42[[#This Row],[2011 Census]])/Table42[[#This Row],[2011 Census]]</f>
        <v>0.88461538461538458</v>
      </c>
      <c r="H23" s="944"/>
      <c r="I23" s="714"/>
    </row>
    <row r="24" spans="2:11" s="329" customFormat="1" ht="12.75">
      <c r="B24" s="349" t="s">
        <v>366</v>
      </c>
    </row>
    <row r="25" spans="2:11" s="329" customFormat="1" ht="12.75">
      <c r="B25" s="349"/>
    </row>
    <row r="26" spans="2:11" ht="23.25">
      <c r="B26" s="127" t="s">
        <v>720</v>
      </c>
      <c r="C26" s="715"/>
      <c r="D26" s="724"/>
      <c r="E26" s="723"/>
      <c r="F26" s="723"/>
      <c r="G26" s="723"/>
      <c r="H26" s="715"/>
      <c r="I26" s="715"/>
    </row>
    <row r="27" spans="2:11" ht="15" customHeight="1">
      <c r="B27" s="725" t="s">
        <v>425</v>
      </c>
      <c r="C27" s="715"/>
      <c r="D27" s="723"/>
      <c r="E27" s="723"/>
      <c r="F27" s="723"/>
      <c r="G27" s="723"/>
      <c r="H27" s="715"/>
      <c r="I27" s="715"/>
    </row>
    <row r="28" spans="2:11" ht="26.25">
      <c r="B28" s="947" t="s">
        <v>14</v>
      </c>
      <c r="C28" s="939" t="s">
        <v>37</v>
      </c>
      <c r="D28" s="939" t="s">
        <v>426</v>
      </c>
      <c r="E28" s="939" t="s">
        <v>427</v>
      </c>
      <c r="F28" s="939" t="s">
        <v>18</v>
      </c>
      <c r="G28" s="939" t="s">
        <v>7</v>
      </c>
      <c r="H28" s="939" t="s">
        <v>20</v>
      </c>
    </row>
    <row r="29" spans="2:11">
      <c r="B29" s="948" t="s">
        <v>92</v>
      </c>
      <c r="C29" s="949">
        <v>402</v>
      </c>
      <c r="D29" s="949">
        <v>310</v>
      </c>
      <c r="E29" s="949">
        <v>710</v>
      </c>
      <c r="F29" s="950">
        <v>0.23440079234070652</v>
      </c>
      <c r="G29" s="357">
        <v>638</v>
      </c>
      <c r="H29" s="951">
        <v>0.11285266457680251</v>
      </c>
      <c r="I29" s="381"/>
    </row>
    <row r="30" spans="2:11">
      <c r="B30" s="952" t="s">
        <v>73</v>
      </c>
      <c r="C30" s="953">
        <v>287</v>
      </c>
      <c r="D30" s="953">
        <v>179</v>
      </c>
      <c r="E30" s="953">
        <v>467</v>
      </c>
      <c r="F30" s="954">
        <v>0.15417629580719711</v>
      </c>
      <c r="G30" s="361">
        <v>337</v>
      </c>
      <c r="H30" s="955">
        <v>0.3857566765578635</v>
      </c>
      <c r="I30" s="381"/>
      <c r="J30" s="1245"/>
      <c r="K30" s="1245"/>
    </row>
    <row r="31" spans="2:11">
      <c r="B31" s="952" t="s">
        <v>76</v>
      </c>
      <c r="C31" s="953">
        <v>125</v>
      </c>
      <c r="D31" s="953">
        <v>108</v>
      </c>
      <c r="E31" s="953">
        <v>227</v>
      </c>
      <c r="F31" s="954">
        <v>7.4942225156817435E-2</v>
      </c>
      <c r="G31" s="361">
        <v>110</v>
      </c>
      <c r="H31" s="955">
        <v>1.0636363636363637</v>
      </c>
      <c r="I31" s="381"/>
      <c r="J31" s="1245"/>
      <c r="K31" s="1245"/>
    </row>
    <row r="32" spans="2:11">
      <c r="B32" s="952" t="s">
        <v>82</v>
      </c>
      <c r="C32" s="953">
        <v>80</v>
      </c>
      <c r="D32" s="953">
        <v>85</v>
      </c>
      <c r="E32" s="953">
        <v>167</v>
      </c>
      <c r="F32" s="954">
        <v>5.5133707494222514E-2</v>
      </c>
      <c r="G32" s="361">
        <v>109</v>
      </c>
      <c r="H32" s="955">
        <v>0.5321100917431193</v>
      </c>
      <c r="I32" s="381"/>
      <c r="J32" s="1245"/>
      <c r="K32" s="1245"/>
    </row>
    <row r="33" spans="2:11">
      <c r="B33" s="952" t="s">
        <v>86</v>
      </c>
      <c r="C33" s="953">
        <v>25</v>
      </c>
      <c r="D33" s="953">
        <v>74</v>
      </c>
      <c r="E33" s="953">
        <v>95</v>
      </c>
      <c r="F33" s="954">
        <v>3.1363486299108616E-2</v>
      </c>
      <c r="G33" s="361">
        <v>63</v>
      </c>
      <c r="H33" s="955">
        <v>0.50793650793650791</v>
      </c>
      <c r="I33" s="381"/>
      <c r="J33" s="1245"/>
      <c r="K33" s="1245"/>
    </row>
    <row r="34" spans="2:11">
      <c r="B34" s="952" t="s">
        <v>79</v>
      </c>
      <c r="C34" s="953">
        <v>45</v>
      </c>
      <c r="D34" s="953">
        <v>43</v>
      </c>
      <c r="E34" s="953">
        <v>85</v>
      </c>
      <c r="F34" s="954">
        <v>2.806206668867613E-2</v>
      </c>
      <c r="G34" s="361">
        <v>91</v>
      </c>
      <c r="H34" s="955">
        <v>-6.5934065934065936E-2</v>
      </c>
      <c r="I34" s="381"/>
      <c r="J34" s="1245"/>
      <c r="K34" s="1245"/>
    </row>
    <row r="35" spans="2:11">
      <c r="B35" s="952" t="s">
        <v>91</v>
      </c>
      <c r="C35" s="953">
        <v>18</v>
      </c>
      <c r="D35" s="953">
        <v>57</v>
      </c>
      <c r="E35" s="953">
        <v>80</v>
      </c>
      <c r="F35" s="954">
        <v>2.6411356883459889E-2</v>
      </c>
      <c r="G35" s="361">
        <v>44</v>
      </c>
      <c r="H35" s="955">
        <v>0.81818181818181823</v>
      </c>
      <c r="I35" s="381"/>
      <c r="J35" s="1245"/>
      <c r="K35" s="1245"/>
    </row>
    <row r="36" spans="2:11">
      <c r="B36" s="952" t="s">
        <v>78</v>
      </c>
      <c r="C36" s="953">
        <v>51</v>
      </c>
      <c r="D36" s="953">
        <v>26</v>
      </c>
      <c r="E36" s="953">
        <v>78</v>
      </c>
      <c r="F36" s="954">
        <v>2.575107296137339E-2</v>
      </c>
      <c r="G36" s="361">
        <v>46</v>
      </c>
      <c r="H36" s="955">
        <v>0.69565217391304346</v>
      </c>
      <c r="I36" s="381"/>
      <c r="J36" s="1245"/>
      <c r="K36" s="1245"/>
    </row>
    <row r="37" spans="2:11">
      <c r="B37" s="952" t="s">
        <v>131</v>
      </c>
      <c r="C37" s="953">
        <v>45</v>
      </c>
      <c r="D37" s="953">
        <v>26</v>
      </c>
      <c r="E37" s="953">
        <v>78</v>
      </c>
      <c r="F37" s="954">
        <v>2.575107296137339E-2</v>
      </c>
      <c r="G37" s="361">
        <v>90</v>
      </c>
      <c r="H37" s="955">
        <v>-0.13333333333333333</v>
      </c>
      <c r="I37" s="381"/>
      <c r="J37" s="1243"/>
      <c r="K37" s="1243"/>
    </row>
    <row r="38" spans="2:11">
      <c r="B38" s="952" t="s">
        <v>83</v>
      </c>
      <c r="C38" s="953">
        <v>54</v>
      </c>
      <c r="D38" s="953">
        <v>18</v>
      </c>
      <c r="E38" s="953">
        <v>71</v>
      </c>
      <c r="F38" s="954">
        <v>2.3440079234070651E-2</v>
      </c>
      <c r="G38" s="361">
        <v>39</v>
      </c>
      <c r="H38" s="955">
        <v>0.82051282051282048</v>
      </c>
      <c r="I38" s="381"/>
      <c r="J38" s="1243"/>
      <c r="K38" s="1243"/>
    </row>
    <row r="39" spans="2:11">
      <c r="B39" s="952" t="s">
        <v>428</v>
      </c>
      <c r="C39" s="953">
        <v>42</v>
      </c>
      <c r="D39" s="953">
        <v>21</v>
      </c>
      <c r="E39" s="953">
        <v>67</v>
      </c>
      <c r="F39" s="954">
        <v>2.2119511389897657E-2</v>
      </c>
      <c r="G39" s="361">
        <v>38</v>
      </c>
      <c r="H39" s="955">
        <v>0.76315789473684215</v>
      </c>
      <c r="I39" s="381"/>
      <c r="J39" s="1243"/>
      <c r="K39" s="1243"/>
    </row>
    <row r="40" spans="2:11">
      <c r="B40" s="952" t="s">
        <v>84</v>
      </c>
      <c r="C40" s="953">
        <v>36</v>
      </c>
      <c r="D40" s="953">
        <v>23</v>
      </c>
      <c r="E40" s="953">
        <v>57</v>
      </c>
      <c r="F40" s="954">
        <v>1.8818091779465172E-2</v>
      </c>
      <c r="G40" s="361">
        <v>69</v>
      </c>
      <c r="H40" s="955">
        <v>-0.17391304347826086</v>
      </c>
      <c r="I40" s="381"/>
      <c r="J40" s="1243"/>
      <c r="K40" s="1243"/>
    </row>
    <row r="41" spans="2:11">
      <c r="B41" s="952" t="s">
        <v>75</v>
      </c>
      <c r="C41" s="953">
        <v>38</v>
      </c>
      <c r="D41" s="953">
        <v>18</v>
      </c>
      <c r="E41" s="953">
        <v>56</v>
      </c>
      <c r="F41" s="954">
        <v>1.8487949818421921E-2</v>
      </c>
      <c r="G41" s="361">
        <v>29</v>
      </c>
      <c r="H41" s="955">
        <v>0.93103448275862066</v>
      </c>
      <c r="I41" s="381"/>
      <c r="J41" s="1243"/>
      <c r="K41" s="1243"/>
    </row>
    <row r="42" spans="2:11">
      <c r="B42" s="952" t="s">
        <v>77</v>
      </c>
      <c r="C42" s="953">
        <v>29</v>
      </c>
      <c r="D42" s="953">
        <v>28</v>
      </c>
      <c r="E42" s="953">
        <v>54</v>
      </c>
      <c r="F42" s="954">
        <v>1.7827665896335426E-2</v>
      </c>
      <c r="G42" s="361">
        <v>35</v>
      </c>
      <c r="H42" s="955">
        <v>0.54285714285714282</v>
      </c>
      <c r="I42" s="381"/>
      <c r="J42" s="1243"/>
      <c r="K42" s="1243"/>
    </row>
    <row r="43" spans="2:11">
      <c r="B43" s="952" t="s">
        <v>90</v>
      </c>
      <c r="C43" s="953">
        <v>19</v>
      </c>
      <c r="D43" s="953">
        <v>31</v>
      </c>
      <c r="E43" s="953">
        <v>51</v>
      </c>
      <c r="F43" s="954">
        <v>1.6837240013205679E-2</v>
      </c>
      <c r="G43" s="361">
        <v>56</v>
      </c>
      <c r="H43" s="955">
        <v>-8.9285714285714288E-2</v>
      </c>
      <c r="I43" s="381"/>
      <c r="J43" s="1243"/>
      <c r="K43" s="1243"/>
    </row>
    <row r="44" spans="2:11">
      <c r="B44" s="952" t="s">
        <v>130</v>
      </c>
      <c r="C44" s="953">
        <v>20</v>
      </c>
      <c r="D44" s="953">
        <v>28</v>
      </c>
      <c r="E44" s="953">
        <v>49</v>
      </c>
      <c r="F44" s="954">
        <v>1.6176956091119181E-2</v>
      </c>
      <c r="G44" s="361">
        <v>44</v>
      </c>
      <c r="H44" s="955">
        <v>0.11363636363636363</v>
      </c>
      <c r="I44" s="381"/>
      <c r="J44" s="1243"/>
      <c r="K44" s="1243"/>
    </row>
    <row r="45" spans="2:11">
      <c r="B45" s="952" t="s">
        <v>74</v>
      </c>
      <c r="C45" s="953">
        <v>23</v>
      </c>
      <c r="D45" s="953">
        <v>17</v>
      </c>
      <c r="E45" s="953">
        <v>44</v>
      </c>
      <c r="F45" s="954">
        <v>1.4526246285902938E-2</v>
      </c>
      <c r="G45" s="361">
        <v>35</v>
      </c>
      <c r="H45" s="955">
        <v>0.25714285714285712</v>
      </c>
      <c r="I45" s="381"/>
      <c r="J45" s="1243"/>
      <c r="K45" s="1243"/>
    </row>
    <row r="46" spans="2:11">
      <c r="B46" s="952" t="s">
        <v>141</v>
      </c>
      <c r="C46" s="953">
        <v>15</v>
      </c>
      <c r="D46" s="953">
        <v>18</v>
      </c>
      <c r="E46" s="953">
        <v>30</v>
      </c>
      <c r="F46" s="954">
        <v>9.9042588312974571E-3</v>
      </c>
      <c r="G46" s="361">
        <v>12</v>
      </c>
      <c r="H46" s="955">
        <v>1.5</v>
      </c>
      <c r="I46" s="381"/>
      <c r="J46" s="1243"/>
      <c r="K46" s="1243"/>
    </row>
    <row r="47" spans="2:11">
      <c r="B47" s="952" t="s">
        <v>85</v>
      </c>
      <c r="C47" s="953">
        <v>21</v>
      </c>
      <c r="D47" s="953">
        <v>10</v>
      </c>
      <c r="E47" s="953">
        <v>30</v>
      </c>
      <c r="F47" s="954">
        <v>9.9042588312974571E-3</v>
      </c>
      <c r="G47" s="361">
        <v>32</v>
      </c>
      <c r="H47" s="955">
        <v>-6.25E-2</v>
      </c>
      <c r="I47" s="381"/>
      <c r="J47" s="1243"/>
      <c r="K47" s="1243"/>
    </row>
    <row r="48" spans="2:11">
      <c r="B48" s="952" t="s">
        <v>126</v>
      </c>
      <c r="C48" s="953">
        <v>15</v>
      </c>
      <c r="D48" s="953">
        <v>11</v>
      </c>
      <c r="E48" s="953">
        <v>27</v>
      </c>
      <c r="F48" s="954">
        <v>8.9138329481677128E-3</v>
      </c>
      <c r="G48" s="361">
        <v>14</v>
      </c>
      <c r="H48" s="955">
        <v>0.9285714285714286</v>
      </c>
      <c r="I48" s="381"/>
      <c r="J48" s="1243"/>
      <c r="K48" s="1243"/>
    </row>
    <row r="49" spans="1:11">
      <c r="B49" s="952" t="s">
        <v>368</v>
      </c>
      <c r="C49" s="953">
        <v>13</v>
      </c>
      <c r="D49" s="953">
        <v>15</v>
      </c>
      <c r="E49" s="953">
        <v>27</v>
      </c>
      <c r="F49" s="954">
        <v>8.9138329481677128E-3</v>
      </c>
      <c r="G49" s="361">
        <v>21</v>
      </c>
      <c r="H49" s="955">
        <v>0.2857142857142857</v>
      </c>
      <c r="I49" s="381"/>
      <c r="J49" s="1243"/>
      <c r="K49" s="1243"/>
    </row>
    <row r="50" spans="1:11" s="956" customFormat="1">
      <c r="B50" s="952" t="s">
        <v>88</v>
      </c>
      <c r="C50" s="957">
        <v>24</v>
      </c>
      <c r="D50" s="957">
        <v>4</v>
      </c>
      <c r="E50" s="957">
        <v>26</v>
      </c>
      <c r="F50" s="958">
        <v>8.5836909871244635E-3</v>
      </c>
      <c r="G50" s="361">
        <v>4</v>
      </c>
      <c r="H50" s="959">
        <v>5.5</v>
      </c>
      <c r="I50" s="960"/>
      <c r="J50" s="1253"/>
      <c r="K50" s="1253"/>
    </row>
    <row r="51" spans="1:11">
      <c r="B51" s="952" t="s">
        <v>87</v>
      </c>
      <c r="C51" s="953">
        <v>13</v>
      </c>
      <c r="D51" s="953">
        <v>14</v>
      </c>
      <c r="E51" s="953">
        <v>25</v>
      </c>
      <c r="F51" s="954">
        <v>8.2535490260812142E-3</v>
      </c>
      <c r="G51" s="361">
        <v>34</v>
      </c>
      <c r="H51" s="955">
        <v>-0.26470588235294118</v>
      </c>
      <c r="I51" s="381"/>
      <c r="J51" s="1243"/>
      <c r="K51" s="1243"/>
    </row>
    <row r="52" spans="1:11">
      <c r="B52" s="952" t="s">
        <v>429</v>
      </c>
      <c r="C52" s="953">
        <v>10</v>
      </c>
      <c r="D52" s="953">
        <v>11</v>
      </c>
      <c r="E52" s="953">
        <v>25</v>
      </c>
      <c r="F52" s="954">
        <v>8.2535490260812142E-3</v>
      </c>
      <c r="G52" s="361">
        <v>23</v>
      </c>
      <c r="H52" s="955">
        <v>8.6956521739130432E-2</v>
      </c>
      <c r="I52" s="381"/>
      <c r="J52" s="1243"/>
      <c r="K52" s="1243"/>
    </row>
    <row r="53" spans="1:11">
      <c r="B53" s="952" t="s">
        <v>134</v>
      </c>
      <c r="C53" s="953">
        <v>14</v>
      </c>
      <c r="D53" s="953">
        <v>14</v>
      </c>
      <c r="E53" s="953">
        <v>24</v>
      </c>
      <c r="F53" s="954">
        <v>7.9234070650379667E-3</v>
      </c>
      <c r="G53" s="361">
        <v>14</v>
      </c>
      <c r="H53" s="955">
        <v>0.7142857142857143</v>
      </c>
      <c r="I53" s="381"/>
      <c r="J53" s="1243"/>
      <c r="K53" s="1243"/>
    </row>
    <row r="54" spans="1:11">
      <c r="B54" s="952" t="s">
        <v>129</v>
      </c>
      <c r="C54" s="953">
        <v>8</v>
      </c>
      <c r="D54" s="953">
        <v>11</v>
      </c>
      <c r="E54" s="953">
        <v>22</v>
      </c>
      <c r="F54" s="954">
        <v>7.263123142951469E-3</v>
      </c>
      <c r="G54" s="361">
        <v>23</v>
      </c>
      <c r="H54" s="955">
        <v>-4.3478260869565216E-2</v>
      </c>
      <c r="I54" s="381"/>
      <c r="J54" s="1243"/>
      <c r="K54" s="1243"/>
    </row>
    <row r="55" spans="1:11" s="961" customFormat="1">
      <c r="B55" s="731" t="s">
        <v>369</v>
      </c>
      <c r="C55" s="962">
        <v>234</v>
      </c>
      <c r="D55" s="962">
        <v>127</v>
      </c>
      <c r="E55" s="962">
        <v>357</v>
      </c>
      <c r="F55" s="963">
        <v>0.11786068009243975</v>
      </c>
      <c r="G55" s="964">
        <v>283</v>
      </c>
      <c r="H55" s="965">
        <v>0.26148409893992935</v>
      </c>
      <c r="I55" s="966"/>
      <c r="J55" s="1254"/>
      <c r="K55" s="1254"/>
    </row>
    <row r="56" spans="1:11">
      <c r="B56" s="738" t="s">
        <v>21</v>
      </c>
      <c r="C56" s="740">
        <v>1706</v>
      </c>
      <c r="D56" s="740">
        <v>1327</v>
      </c>
      <c r="E56" s="740">
        <v>3029</v>
      </c>
      <c r="F56" s="967">
        <v>1</v>
      </c>
      <c r="G56" s="968">
        <v>2333</v>
      </c>
      <c r="H56" s="969">
        <v>0.29832833261894559</v>
      </c>
      <c r="I56" s="381"/>
      <c r="J56" s="1249"/>
      <c r="K56" s="1249"/>
    </row>
    <row r="57" spans="1:11" s="329" customFormat="1" ht="12.75">
      <c r="B57" s="349" t="s">
        <v>366</v>
      </c>
    </row>
    <row r="58" spans="1:11" s="329" customFormat="1" ht="12.75">
      <c r="B58" s="349"/>
    </row>
    <row r="59" spans="1:11" ht="23.25">
      <c r="B59" s="127" t="s">
        <v>721</v>
      </c>
      <c r="C59" s="328"/>
      <c r="D59" s="328"/>
      <c r="E59" s="328"/>
      <c r="F59" s="328"/>
      <c r="G59" s="328"/>
      <c r="H59" s="328"/>
      <c r="I59" s="328"/>
      <c r="J59" s="328"/>
      <c r="K59" s="328"/>
    </row>
    <row r="60" spans="1:11" ht="15.75">
      <c r="B60" s="744" t="s">
        <v>850</v>
      </c>
      <c r="C60" s="328"/>
      <c r="D60" s="328"/>
      <c r="E60" s="328"/>
      <c r="F60" s="328"/>
      <c r="G60" s="328"/>
      <c r="H60" s="328"/>
      <c r="I60" s="328"/>
      <c r="J60" s="328"/>
      <c r="K60" s="328"/>
    </row>
    <row r="61" spans="1:11" ht="15.75">
      <c r="B61" s="745" t="s">
        <v>871</v>
      </c>
      <c r="C61" s="328"/>
      <c r="D61" s="328"/>
      <c r="E61" s="328"/>
      <c r="F61" s="328"/>
      <c r="G61" s="328"/>
      <c r="H61" s="328"/>
      <c r="I61" s="328"/>
      <c r="J61" s="328"/>
      <c r="K61" s="328"/>
    </row>
    <row r="62" spans="1:11">
      <c r="B62" s="866" t="s">
        <v>14</v>
      </c>
      <c r="C62" s="867" t="s">
        <v>23</v>
      </c>
      <c r="D62" s="867" t="s">
        <v>24</v>
      </c>
      <c r="E62" s="867" t="s">
        <v>25</v>
      </c>
      <c r="F62" s="867" t="s">
        <v>26</v>
      </c>
      <c r="G62" s="867" t="s">
        <v>27</v>
      </c>
      <c r="H62" s="867" t="s">
        <v>28</v>
      </c>
    </row>
    <row r="63" spans="1:11">
      <c r="A63" s="381"/>
      <c r="B63" s="381" t="s">
        <v>92</v>
      </c>
      <c r="C63" s="970">
        <v>10</v>
      </c>
      <c r="D63" s="970">
        <v>29</v>
      </c>
      <c r="E63" s="970">
        <v>144</v>
      </c>
      <c r="F63" s="970">
        <v>374</v>
      </c>
      <c r="G63" s="970">
        <v>156</v>
      </c>
      <c r="H63" s="953">
        <v>710</v>
      </c>
    </row>
    <row r="64" spans="1:11">
      <c r="A64" s="381"/>
      <c r="B64" s="381" t="s">
        <v>73</v>
      </c>
      <c r="C64" s="970">
        <v>7</v>
      </c>
      <c r="D64" s="970">
        <v>17</v>
      </c>
      <c r="E64" s="970">
        <v>164</v>
      </c>
      <c r="F64" s="970">
        <v>226</v>
      </c>
      <c r="G64" s="970">
        <v>52</v>
      </c>
      <c r="H64" s="953">
        <v>467</v>
      </c>
    </row>
    <row r="65" spans="1:11">
      <c r="A65" s="381"/>
      <c r="B65" s="381" t="s">
        <v>76</v>
      </c>
      <c r="C65" s="970">
        <v>10</v>
      </c>
      <c r="D65" s="970">
        <v>6</v>
      </c>
      <c r="E65" s="970">
        <v>106</v>
      </c>
      <c r="F65" s="970">
        <v>86</v>
      </c>
      <c r="G65" s="970">
        <v>23</v>
      </c>
      <c r="H65" s="953">
        <v>227</v>
      </c>
    </row>
    <row r="66" spans="1:11">
      <c r="A66" s="381"/>
      <c r="B66" s="381" t="s">
        <v>82</v>
      </c>
      <c r="C66" s="970">
        <v>10</v>
      </c>
      <c r="D66" s="970">
        <v>11</v>
      </c>
      <c r="E66" s="970">
        <v>72</v>
      </c>
      <c r="F66" s="970">
        <v>75</v>
      </c>
      <c r="G66" s="970">
        <v>10</v>
      </c>
      <c r="H66" s="953">
        <v>167</v>
      </c>
    </row>
    <row r="67" spans="1:11">
      <c r="A67" s="381"/>
      <c r="B67" s="381" t="s">
        <v>86</v>
      </c>
      <c r="C67" s="970">
        <v>16</v>
      </c>
      <c r="D67" s="970">
        <v>9</v>
      </c>
      <c r="E67" s="970">
        <v>32</v>
      </c>
      <c r="F67" s="970">
        <v>31</v>
      </c>
      <c r="G67" s="970">
        <v>11</v>
      </c>
      <c r="H67" s="953">
        <v>95</v>
      </c>
    </row>
    <row r="68" spans="1:11" ht="15" customHeight="1">
      <c r="A68" s="381"/>
      <c r="B68" s="381" t="s">
        <v>79</v>
      </c>
      <c r="C68" s="970">
        <v>0</v>
      </c>
      <c r="D68" s="970">
        <v>0</v>
      </c>
      <c r="E68" s="970">
        <v>20</v>
      </c>
      <c r="F68" s="970">
        <v>26</v>
      </c>
      <c r="G68" s="970">
        <v>35</v>
      </c>
      <c r="H68" s="953">
        <v>85</v>
      </c>
    </row>
    <row r="69" spans="1:11">
      <c r="A69" s="381"/>
      <c r="B69" s="381" t="s">
        <v>91</v>
      </c>
      <c r="C69" s="970">
        <v>12</v>
      </c>
      <c r="D69" s="970">
        <v>9</v>
      </c>
      <c r="E69" s="970">
        <v>31</v>
      </c>
      <c r="F69" s="970">
        <v>19</v>
      </c>
      <c r="G69" s="970">
        <v>3</v>
      </c>
      <c r="H69" s="953">
        <v>80</v>
      </c>
    </row>
    <row r="70" spans="1:11">
      <c r="A70" s="381"/>
      <c r="B70" s="381" t="s">
        <v>78</v>
      </c>
      <c r="C70" s="970">
        <v>5</v>
      </c>
      <c r="D70" s="970">
        <v>14</v>
      </c>
      <c r="E70" s="970">
        <v>23</v>
      </c>
      <c r="F70" s="970">
        <v>28</v>
      </c>
      <c r="G70" s="970">
        <v>4</v>
      </c>
      <c r="H70" s="953">
        <v>78</v>
      </c>
    </row>
    <row r="71" spans="1:11">
      <c r="A71" s="381"/>
      <c r="B71" s="381" t="s">
        <v>131</v>
      </c>
      <c r="C71" s="970">
        <v>0</v>
      </c>
      <c r="D71" s="970">
        <v>3</v>
      </c>
      <c r="E71" s="970">
        <v>4</v>
      </c>
      <c r="F71" s="970">
        <v>43</v>
      </c>
      <c r="G71" s="970">
        <v>17</v>
      </c>
      <c r="H71" s="953">
        <v>78</v>
      </c>
      <c r="K71" s="856"/>
    </row>
    <row r="72" spans="1:11">
      <c r="A72" s="381"/>
      <c r="B72" s="381" t="s">
        <v>83</v>
      </c>
      <c r="C72" s="970">
        <v>0</v>
      </c>
      <c r="D72" s="970">
        <v>0</v>
      </c>
      <c r="E72" s="970">
        <v>40</v>
      </c>
      <c r="F72" s="970">
        <v>21</v>
      </c>
      <c r="G72" s="970">
        <v>8</v>
      </c>
      <c r="H72" s="953">
        <v>71</v>
      </c>
    </row>
    <row r="73" spans="1:11">
      <c r="B73" s="756" t="s">
        <v>29</v>
      </c>
      <c r="C73" s="757">
        <v>3651</v>
      </c>
      <c r="D73" s="757">
        <v>2520</v>
      </c>
      <c r="E73" s="757">
        <v>5165</v>
      </c>
      <c r="F73" s="757">
        <v>4502</v>
      </c>
      <c r="G73" s="757">
        <v>1029</v>
      </c>
      <c r="H73" s="971">
        <v>16862</v>
      </c>
    </row>
    <row r="74" spans="1:11">
      <c r="B74" s="759" t="s">
        <v>370</v>
      </c>
      <c r="C74" s="757">
        <v>23</v>
      </c>
      <c r="D74" s="757">
        <v>69</v>
      </c>
      <c r="E74" s="757">
        <v>427</v>
      </c>
      <c r="F74" s="757">
        <v>735</v>
      </c>
      <c r="G74" s="757">
        <v>273</v>
      </c>
      <c r="H74" s="971">
        <v>1522</v>
      </c>
    </row>
    <row r="75" spans="1:11">
      <c r="B75" s="760" t="s">
        <v>31</v>
      </c>
      <c r="C75" s="761">
        <v>550</v>
      </c>
      <c r="D75" s="761">
        <v>425</v>
      </c>
      <c r="E75" s="761">
        <v>2032</v>
      </c>
      <c r="F75" s="761">
        <v>1884</v>
      </c>
      <c r="G75" s="761">
        <v>563</v>
      </c>
      <c r="H75" s="972">
        <v>1507</v>
      </c>
    </row>
    <row r="76" spans="1:11">
      <c r="B76" s="700" t="s">
        <v>28</v>
      </c>
      <c r="C76" s="973">
        <v>4224</v>
      </c>
      <c r="D76" s="973">
        <v>3014</v>
      </c>
      <c r="E76" s="973">
        <v>7624</v>
      </c>
      <c r="F76" s="973">
        <v>7121</v>
      </c>
      <c r="G76" s="973">
        <v>1865</v>
      </c>
      <c r="H76" s="973"/>
    </row>
    <row r="77" spans="1:11" ht="23.25">
      <c r="B77" s="127" t="s">
        <v>754</v>
      </c>
      <c r="C77" s="328"/>
      <c r="D77" s="328"/>
      <c r="E77" s="328"/>
      <c r="F77" s="328"/>
      <c r="G77" s="328"/>
      <c r="H77" s="328"/>
    </row>
    <row r="78" spans="1:11" ht="15.75">
      <c r="B78" s="744" t="s">
        <v>833</v>
      </c>
      <c r="C78" s="328"/>
      <c r="D78" s="328"/>
      <c r="E78" s="328"/>
      <c r="F78" s="328"/>
      <c r="G78" s="328"/>
      <c r="H78" s="328"/>
    </row>
    <row r="79" spans="1:11" ht="15.75">
      <c r="B79" s="745" t="s">
        <v>843</v>
      </c>
      <c r="C79" s="328"/>
      <c r="D79" s="328"/>
      <c r="E79" s="328"/>
      <c r="F79" s="328"/>
      <c r="G79" s="328"/>
      <c r="H79" s="328"/>
    </row>
    <row r="80" spans="1:11">
      <c r="B80" s="866" t="s">
        <v>14</v>
      </c>
      <c r="C80" s="867" t="s">
        <v>23</v>
      </c>
      <c r="D80" s="867" t="s">
        <v>24</v>
      </c>
      <c r="E80" s="867" t="s">
        <v>25</v>
      </c>
      <c r="F80" s="867" t="s">
        <v>26</v>
      </c>
      <c r="G80" s="867" t="s">
        <v>27</v>
      </c>
      <c r="H80" s="867" t="s">
        <v>28</v>
      </c>
    </row>
    <row r="81" spans="2:9">
      <c r="B81" s="378" t="s">
        <v>92</v>
      </c>
      <c r="C81" s="974">
        <v>1.4084507042253521E-2</v>
      </c>
      <c r="D81" s="974">
        <v>4.0845070422535212E-2</v>
      </c>
      <c r="E81" s="974">
        <v>0.20281690140845071</v>
      </c>
      <c r="F81" s="974">
        <v>0.52676056338028165</v>
      </c>
      <c r="G81" s="974">
        <v>0.21971830985915494</v>
      </c>
      <c r="H81" s="953">
        <v>710</v>
      </c>
    </row>
    <row r="82" spans="2:9">
      <c r="B82" s="381" t="s">
        <v>73</v>
      </c>
      <c r="C82" s="975">
        <v>1.4989293361884369E-2</v>
      </c>
      <c r="D82" s="975">
        <v>3.6402569593147749E-2</v>
      </c>
      <c r="E82" s="975">
        <v>0.35117773019271947</v>
      </c>
      <c r="F82" s="975">
        <v>0.48394004282655245</v>
      </c>
      <c r="G82" s="975">
        <v>0.11134903640256959</v>
      </c>
      <c r="H82" s="953">
        <v>467</v>
      </c>
    </row>
    <row r="83" spans="2:9">
      <c r="B83" s="381" t="s">
        <v>76</v>
      </c>
      <c r="C83" s="975">
        <v>4.405286343612335E-2</v>
      </c>
      <c r="D83" s="975">
        <v>2.643171806167401E-2</v>
      </c>
      <c r="E83" s="975">
        <v>0.46696035242290751</v>
      </c>
      <c r="F83" s="975">
        <v>0.3788546255506608</v>
      </c>
      <c r="G83" s="975">
        <v>0.1013215859030837</v>
      </c>
      <c r="H83" s="953">
        <v>227</v>
      </c>
    </row>
    <row r="84" spans="2:9">
      <c r="B84" s="381" t="s">
        <v>82</v>
      </c>
      <c r="C84" s="975">
        <v>5.9880239520958084E-2</v>
      </c>
      <c r="D84" s="975">
        <v>6.5868263473053898E-2</v>
      </c>
      <c r="E84" s="975">
        <v>0.43113772455089822</v>
      </c>
      <c r="F84" s="975">
        <v>0.44910179640718562</v>
      </c>
      <c r="G84" s="975">
        <v>5.9880239520958084E-2</v>
      </c>
      <c r="H84" s="953">
        <v>167</v>
      </c>
    </row>
    <row r="85" spans="2:9">
      <c r="B85" s="381" t="s">
        <v>86</v>
      </c>
      <c r="C85" s="975">
        <v>0.16842105263157894</v>
      </c>
      <c r="D85" s="975">
        <v>9.4736842105263161E-2</v>
      </c>
      <c r="E85" s="975">
        <v>0.33684210526315789</v>
      </c>
      <c r="F85" s="975">
        <v>0.32631578947368423</v>
      </c>
      <c r="G85" s="975">
        <v>0.11578947368421053</v>
      </c>
      <c r="H85" s="953">
        <v>95</v>
      </c>
    </row>
    <row r="86" spans="2:9">
      <c r="B86" s="381" t="s">
        <v>79</v>
      </c>
      <c r="C86" s="975">
        <v>0</v>
      </c>
      <c r="D86" s="975">
        <v>0</v>
      </c>
      <c r="E86" s="975">
        <v>0.23529411764705882</v>
      </c>
      <c r="F86" s="975">
        <v>0.30588235294117649</v>
      </c>
      <c r="G86" s="975">
        <v>0.41176470588235292</v>
      </c>
      <c r="H86" s="953">
        <v>85</v>
      </c>
    </row>
    <row r="87" spans="2:9">
      <c r="B87" s="381" t="s">
        <v>91</v>
      </c>
      <c r="C87" s="975">
        <v>0.15</v>
      </c>
      <c r="D87" s="975">
        <v>0.1125</v>
      </c>
      <c r="E87" s="975">
        <v>0.38750000000000001</v>
      </c>
      <c r="F87" s="975">
        <v>0.23749999999999999</v>
      </c>
      <c r="G87" s="975">
        <v>3.7499999999999999E-2</v>
      </c>
      <c r="H87" s="953">
        <v>80</v>
      </c>
    </row>
    <row r="88" spans="2:9">
      <c r="B88" s="381" t="s">
        <v>78</v>
      </c>
      <c r="C88" s="975">
        <v>6.4102564102564097E-2</v>
      </c>
      <c r="D88" s="975">
        <v>0.17948717948717949</v>
      </c>
      <c r="E88" s="975">
        <v>0.29487179487179488</v>
      </c>
      <c r="F88" s="975">
        <v>0.35897435897435898</v>
      </c>
      <c r="G88" s="975">
        <v>5.128205128205128E-2</v>
      </c>
      <c r="H88" s="953">
        <v>78</v>
      </c>
    </row>
    <row r="89" spans="2:9">
      <c r="B89" s="381" t="s">
        <v>131</v>
      </c>
      <c r="C89" s="975">
        <v>0</v>
      </c>
      <c r="D89" s="975">
        <v>3.8461538461538464E-2</v>
      </c>
      <c r="E89" s="975">
        <v>5.128205128205128E-2</v>
      </c>
      <c r="F89" s="975">
        <v>0.55128205128205132</v>
      </c>
      <c r="G89" s="975">
        <v>0.21794871794871795</v>
      </c>
      <c r="H89" s="953">
        <v>78</v>
      </c>
    </row>
    <row r="90" spans="2:9">
      <c r="B90" s="381" t="s">
        <v>83</v>
      </c>
      <c r="C90" s="975">
        <v>0</v>
      </c>
      <c r="D90" s="975">
        <v>0</v>
      </c>
      <c r="E90" s="975">
        <v>0.56338028169014087</v>
      </c>
      <c r="F90" s="975">
        <v>0.29577464788732394</v>
      </c>
      <c r="G90" s="975">
        <v>0.11267605633802817</v>
      </c>
      <c r="H90" s="953">
        <v>71</v>
      </c>
    </row>
    <row r="91" spans="2:9">
      <c r="B91" s="759" t="s">
        <v>29</v>
      </c>
      <c r="C91" s="976">
        <v>0.21652235796465424</v>
      </c>
      <c r="D91" s="976">
        <v>0.14944846400189776</v>
      </c>
      <c r="E91" s="976">
        <v>0.3063100462578579</v>
      </c>
      <c r="F91" s="976">
        <v>0.26699086703831099</v>
      </c>
      <c r="G91" s="976">
        <v>6.1024789467441581E-2</v>
      </c>
      <c r="H91" s="971">
        <v>16862</v>
      </c>
    </row>
    <row r="92" spans="2:9" ht="15.75">
      <c r="B92" s="759" t="s">
        <v>370</v>
      </c>
      <c r="C92" s="976">
        <v>1.5111695137976347E-2</v>
      </c>
      <c r="D92" s="976">
        <v>4.5335085413929041E-2</v>
      </c>
      <c r="E92" s="976">
        <v>0.28055190538764785</v>
      </c>
      <c r="F92" s="976">
        <v>0.48291721419185285</v>
      </c>
      <c r="G92" s="976">
        <v>0.17936925098554535</v>
      </c>
      <c r="H92" s="971">
        <v>1522</v>
      </c>
      <c r="I92" s="328"/>
    </row>
    <row r="93" spans="2:9" ht="15.75">
      <c r="B93" s="760" t="s">
        <v>31</v>
      </c>
      <c r="C93" s="977">
        <v>0.36496350364963503</v>
      </c>
      <c r="D93" s="977">
        <v>0.28201725282017254</v>
      </c>
      <c r="E93" s="977">
        <v>1.3483742534837426</v>
      </c>
      <c r="F93" s="977">
        <v>1.250165892501659</v>
      </c>
      <c r="G93" s="977">
        <v>0.37358991373589912</v>
      </c>
      <c r="H93" s="972">
        <v>1507</v>
      </c>
      <c r="I93" s="328"/>
    </row>
    <row r="95" spans="2:9" ht="23.25">
      <c r="B95" s="127" t="s">
        <v>753</v>
      </c>
      <c r="C95" s="328"/>
      <c r="D95" s="328"/>
      <c r="E95" s="328"/>
      <c r="F95" s="328"/>
      <c r="G95" s="328"/>
      <c r="H95" s="328"/>
      <c r="I95" s="328"/>
    </row>
    <row r="96" spans="2:9" ht="15.75">
      <c r="B96" s="778" t="s">
        <v>851</v>
      </c>
      <c r="C96" s="328"/>
      <c r="D96" s="328"/>
      <c r="E96" s="328"/>
      <c r="F96" s="328"/>
      <c r="G96" s="328"/>
      <c r="H96" s="328"/>
      <c r="I96" s="328"/>
    </row>
    <row r="97" spans="2:14" ht="15.75">
      <c r="B97" s="745" t="s">
        <v>887</v>
      </c>
      <c r="C97" s="328"/>
      <c r="D97" s="328"/>
      <c r="E97" s="328"/>
      <c r="F97" s="328"/>
      <c r="G97" s="328"/>
      <c r="H97" s="328"/>
      <c r="I97" s="328"/>
    </row>
    <row r="98" spans="2:14">
      <c r="B98" s="978" t="s">
        <v>14</v>
      </c>
      <c r="C98" s="867" t="s">
        <v>32</v>
      </c>
      <c r="D98" s="867" t="s">
        <v>33</v>
      </c>
      <c r="E98" s="867" t="s">
        <v>34</v>
      </c>
      <c r="F98" s="867" t="s">
        <v>403</v>
      </c>
      <c r="G98" s="867" t="s">
        <v>404</v>
      </c>
      <c r="H98" s="867" t="s">
        <v>635</v>
      </c>
      <c r="I98" s="867" t="s">
        <v>28</v>
      </c>
    </row>
    <row r="99" spans="2:14" ht="15" customHeight="1">
      <c r="B99" s="381" t="s">
        <v>92</v>
      </c>
      <c r="C99" s="970">
        <v>397</v>
      </c>
      <c r="D99" s="970">
        <v>71</v>
      </c>
      <c r="E99" s="970">
        <v>78</v>
      </c>
      <c r="F99" s="970">
        <v>74</v>
      </c>
      <c r="G99" s="970">
        <v>37</v>
      </c>
      <c r="H99" s="970">
        <v>0</v>
      </c>
      <c r="I99" s="953">
        <v>710</v>
      </c>
    </row>
    <row r="100" spans="2:14" ht="15" customHeight="1">
      <c r="B100" s="381" t="s">
        <v>73</v>
      </c>
      <c r="C100" s="970">
        <v>189</v>
      </c>
      <c r="D100" s="970">
        <v>84</v>
      </c>
      <c r="E100" s="970">
        <v>72</v>
      </c>
      <c r="F100" s="970">
        <v>37</v>
      </c>
      <c r="G100" s="970">
        <v>39</v>
      </c>
      <c r="H100" s="970">
        <v>5</v>
      </c>
      <c r="I100" s="953">
        <v>467</v>
      </c>
    </row>
    <row r="101" spans="2:14" ht="15" customHeight="1">
      <c r="B101" s="381" t="s">
        <v>76</v>
      </c>
      <c r="C101" s="970">
        <v>31</v>
      </c>
      <c r="D101" s="970">
        <v>36</v>
      </c>
      <c r="E101" s="970">
        <v>24</v>
      </c>
      <c r="F101" s="970">
        <v>57</v>
      </c>
      <c r="G101" s="970">
        <v>49</v>
      </c>
      <c r="H101" s="970">
        <v>8</v>
      </c>
      <c r="I101" s="953">
        <v>227</v>
      </c>
    </row>
    <row r="102" spans="2:14" ht="15" customHeight="1">
      <c r="B102" s="381" t="s">
        <v>82</v>
      </c>
      <c r="C102" s="970">
        <v>42</v>
      </c>
      <c r="D102" s="970">
        <v>43</v>
      </c>
      <c r="E102" s="970">
        <v>10</v>
      </c>
      <c r="F102" s="970">
        <v>19</v>
      </c>
      <c r="G102" s="970">
        <v>33</v>
      </c>
      <c r="H102" s="970">
        <v>8</v>
      </c>
      <c r="I102" s="953">
        <v>167</v>
      </c>
    </row>
    <row r="103" spans="2:14" ht="15" customHeight="1">
      <c r="B103" s="381" t="s">
        <v>86</v>
      </c>
      <c r="C103" s="970">
        <v>15</v>
      </c>
      <c r="D103" s="970">
        <v>24</v>
      </c>
      <c r="E103" s="970">
        <v>10</v>
      </c>
      <c r="F103" s="970">
        <v>20</v>
      </c>
      <c r="G103" s="970">
        <v>10</v>
      </c>
      <c r="H103" s="970">
        <v>7</v>
      </c>
      <c r="I103" s="953">
        <v>95</v>
      </c>
    </row>
    <row r="104" spans="2:14" ht="15" customHeight="1">
      <c r="B104" s="381" t="s">
        <v>78</v>
      </c>
      <c r="C104" s="970">
        <v>7</v>
      </c>
      <c r="D104" s="970">
        <v>3</v>
      </c>
      <c r="E104" s="970">
        <v>23</v>
      </c>
      <c r="F104" s="970">
        <v>27</v>
      </c>
      <c r="G104" s="970">
        <v>12</v>
      </c>
      <c r="H104" s="970">
        <v>0</v>
      </c>
      <c r="I104" s="953">
        <v>78</v>
      </c>
    </row>
    <row r="105" spans="2:14" ht="15" customHeight="1">
      <c r="B105" s="381" t="s">
        <v>79</v>
      </c>
      <c r="C105" s="970">
        <v>46</v>
      </c>
      <c r="D105" s="970">
        <v>8</v>
      </c>
      <c r="E105" s="970">
        <v>3</v>
      </c>
      <c r="F105" s="970">
        <v>12</v>
      </c>
      <c r="G105" s="970">
        <v>5</v>
      </c>
      <c r="H105" s="970">
        <v>0</v>
      </c>
      <c r="I105" s="953">
        <v>85</v>
      </c>
      <c r="J105" s="328"/>
      <c r="K105" s="328"/>
      <c r="L105" s="328"/>
      <c r="M105" s="328"/>
      <c r="N105" s="328"/>
    </row>
    <row r="106" spans="2:14" ht="15" customHeight="1">
      <c r="B106" s="381" t="s">
        <v>131</v>
      </c>
      <c r="C106" s="970">
        <v>46</v>
      </c>
      <c r="D106" s="970">
        <v>12</v>
      </c>
      <c r="E106" s="970">
        <v>6</v>
      </c>
      <c r="F106" s="970">
        <v>6</v>
      </c>
      <c r="G106" s="970">
        <v>5</v>
      </c>
      <c r="H106" s="970">
        <v>0</v>
      </c>
      <c r="I106" s="953">
        <v>78</v>
      </c>
      <c r="J106" s="328"/>
      <c r="K106" s="328"/>
      <c r="L106" s="328"/>
      <c r="M106" s="328"/>
      <c r="N106" s="328"/>
    </row>
    <row r="107" spans="2:14" ht="15" customHeight="1">
      <c r="B107" s="381" t="s">
        <v>91</v>
      </c>
      <c r="C107" s="970">
        <v>8</v>
      </c>
      <c r="D107" s="970">
        <v>8</v>
      </c>
      <c r="E107" s="970">
        <v>16</v>
      </c>
      <c r="F107" s="970">
        <v>9</v>
      </c>
      <c r="G107" s="970">
        <v>23</v>
      </c>
      <c r="H107" s="970">
        <v>8</v>
      </c>
      <c r="I107" s="953">
        <v>80</v>
      </c>
      <c r="J107" s="328"/>
      <c r="K107" s="328"/>
      <c r="L107" s="328"/>
      <c r="M107" s="328"/>
      <c r="N107" s="328"/>
    </row>
    <row r="108" spans="2:14" ht="15" customHeight="1">
      <c r="B108" s="381" t="s">
        <v>83</v>
      </c>
      <c r="C108" s="970">
        <v>20</v>
      </c>
      <c r="D108" s="970">
        <v>10</v>
      </c>
      <c r="E108" s="970">
        <v>10</v>
      </c>
      <c r="F108" s="970">
        <v>22</v>
      </c>
      <c r="G108" s="970">
        <v>19</v>
      </c>
      <c r="H108" s="970">
        <v>0</v>
      </c>
      <c r="I108" s="953">
        <v>71</v>
      </c>
      <c r="J108" s="328"/>
      <c r="K108" s="328"/>
      <c r="L108" s="328"/>
      <c r="M108" s="328"/>
      <c r="N108" s="328"/>
    </row>
    <row r="109" spans="2:14" ht="15.75">
      <c r="B109" s="783"/>
      <c r="C109" s="784"/>
      <c r="D109" s="784"/>
      <c r="E109" s="784"/>
      <c r="F109" s="783"/>
      <c r="G109" s="784"/>
      <c r="H109" s="784"/>
      <c r="I109" s="328"/>
      <c r="J109" s="328"/>
      <c r="K109" s="328"/>
      <c r="L109" s="328"/>
      <c r="M109" s="328"/>
      <c r="N109" s="328"/>
    </row>
    <row r="110" spans="2:14" ht="23.25">
      <c r="B110" s="127" t="s">
        <v>880</v>
      </c>
      <c r="C110" s="328"/>
      <c r="D110" s="328"/>
      <c r="E110" s="328"/>
      <c r="F110" s="328"/>
      <c r="G110" s="328"/>
      <c r="H110" s="328"/>
      <c r="I110" s="328"/>
      <c r="J110" s="328"/>
      <c r="K110" s="328"/>
      <c r="L110" s="328"/>
      <c r="M110" s="328"/>
      <c r="N110" s="328"/>
    </row>
    <row r="111" spans="2:14" ht="15.75">
      <c r="B111" s="778" t="s">
        <v>851</v>
      </c>
      <c r="C111" s="328"/>
      <c r="D111" s="328"/>
      <c r="E111" s="328"/>
      <c r="F111" s="328"/>
      <c r="G111" s="328"/>
      <c r="H111" s="328"/>
      <c r="I111" s="328"/>
      <c r="J111" s="328"/>
      <c r="K111" s="328"/>
      <c r="L111" s="328"/>
      <c r="M111" s="328"/>
      <c r="N111" s="328"/>
    </row>
    <row r="112" spans="2:14" ht="15.75">
      <c r="B112" s="745" t="s">
        <v>845</v>
      </c>
      <c r="C112" s="328"/>
      <c r="D112" s="328"/>
      <c r="E112" s="328"/>
      <c r="F112" s="328"/>
      <c r="G112" s="328"/>
      <c r="H112" s="328"/>
      <c r="I112" s="328"/>
      <c r="J112" s="783"/>
      <c r="K112" s="785"/>
      <c r="L112" s="785"/>
      <c r="M112" s="785"/>
      <c r="N112" s="785"/>
    </row>
    <row r="113" spans="2:20" ht="15.75">
      <c r="B113" s="979" t="s">
        <v>14</v>
      </c>
      <c r="C113" s="869" t="s">
        <v>32</v>
      </c>
      <c r="D113" s="869" t="s">
        <v>33</v>
      </c>
      <c r="E113" s="869" t="s">
        <v>34</v>
      </c>
      <c r="F113" s="869" t="s">
        <v>403</v>
      </c>
      <c r="G113" s="869" t="s">
        <v>404</v>
      </c>
      <c r="H113" s="869" t="s">
        <v>635</v>
      </c>
      <c r="I113" s="869" t="s">
        <v>28</v>
      </c>
      <c r="J113" s="328"/>
      <c r="K113" s="785"/>
      <c r="L113" s="785"/>
      <c r="M113" s="785"/>
      <c r="N113" s="785"/>
    </row>
    <row r="114" spans="2:20" ht="15.75">
      <c r="B114" s="378" t="s">
        <v>92</v>
      </c>
      <c r="C114" s="980">
        <v>0.55915492957746482</v>
      </c>
      <c r="D114" s="980">
        <v>0.1</v>
      </c>
      <c r="E114" s="980">
        <v>0.10985915492957747</v>
      </c>
      <c r="F114" s="980">
        <v>0.10422535211267606</v>
      </c>
      <c r="G114" s="980">
        <v>5.2112676056338028E-2</v>
      </c>
      <c r="H114" s="980">
        <v>0</v>
      </c>
      <c r="I114" s="953">
        <v>710</v>
      </c>
      <c r="J114" s="790"/>
      <c r="K114" s="785"/>
      <c r="L114" s="785"/>
      <c r="M114" s="785"/>
      <c r="N114" s="785"/>
    </row>
    <row r="115" spans="2:20" ht="15.75">
      <c r="B115" s="381" t="s">
        <v>73</v>
      </c>
      <c r="C115" s="981">
        <v>0.40471092077087795</v>
      </c>
      <c r="D115" s="981">
        <v>0.17987152034261242</v>
      </c>
      <c r="E115" s="981">
        <v>0.15417558886509636</v>
      </c>
      <c r="F115" s="981">
        <v>7.922912205567452E-2</v>
      </c>
      <c r="G115" s="981">
        <v>8.3511777301927201E-2</v>
      </c>
      <c r="H115" s="981">
        <v>1.0706638115631691E-2</v>
      </c>
      <c r="I115" s="953">
        <v>467</v>
      </c>
      <c r="J115" s="790"/>
      <c r="K115" s="785"/>
      <c r="L115" s="785"/>
      <c r="M115" s="785"/>
      <c r="N115" s="785"/>
    </row>
    <row r="116" spans="2:20" ht="15.75">
      <c r="B116" s="381" t="s">
        <v>76</v>
      </c>
      <c r="C116" s="981">
        <v>0.13656387665198239</v>
      </c>
      <c r="D116" s="981">
        <v>0.15859030837004406</v>
      </c>
      <c r="E116" s="981">
        <v>0.10572687224669604</v>
      </c>
      <c r="F116" s="981">
        <v>0.25110132158590309</v>
      </c>
      <c r="G116" s="981">
        <v>0.21585903083700442</v>
      </c>
      <c r="H116" s="981">
        <v>3.5242290748898682E-2</v>
      </c>
      <c r="I116" s="953">
        <v>227</v>
      </c>
      <c r="J116" s="790"/>
      <c r="K116" s="785"/>
      <c r="L116" s="785"/>
      <c r="M116" s="785"/>
      <c r="N116" s="785"/>
    </row>
    <row r="117" spans="2:20" ht="15.75">
      <c r="B117" s="381" t="s">
        <v>82</v>
      </c>
      <c r="C117" s="981">
        <v>0.25149700598802394</v>
      </c>
      <c r="D117" s="981">
        <v>0.25748502994011974</v>
      </c>
      <c r="E117" s="981">
        <v>5.9880239520958084E-2</v>
      </c>
      <c r="F117" s="981">
        <v>0.11377245508982035</v>
      </c>
      <c r="G117" s="981">
        <v>0.19760479041916168</v>
      </c>
      <c r="H117" s="981">
        <v>4.790419161676647E-2</v>
      </c>
      <c r="I117" s="953">
        <v>167</v>
      </c>
      <c r="J117" s="790"/>
      <c r="K117" s="785"/>
      <c r="L117" s="785"/>
      <c r="M117" s="785"/>
      <c r="N117" s="785"/>
    </row>
    <row r="118" spans="2:20" ht="15.75">
      <c r="B118" s="381" t="s">
        <v>86</v>
      </c>
      <c r="C118" s="981">
        <v>0.15789473684210525</v>
      </c>
      <c r="D118" s="981">
        <v>0.25263157894736843</v>
      </c>
      <c r="E118" s="981">
        <v>0.10526315789473684</v>
      </c>
      <c r="F118" s="981">
        <v>0.21052631578947367</v>
      </c>
      <c r="G118" s="981">
        <v>0.10526315789473684</v>
      </c>
      <c r="H118" s="981">
        <v>7.3684210526315783E-2</v>
      </c>
      <c r="I118" s="953">
        <v>95</v>
      </c>
      <c r="J118" s="790"/>
      <c r="K118" s="785"/>
      <c r="L118" s="785"/>
      <c r="M118" s="785"/>
      <c r="N118" s="785"/>
    </row>
    <row r="119" spans="2:20" ht="15.75">
      <c r="B119" s="381" t="s">
        <v>78</v>
      </c>
      <c r="C119" s="981">
        <v>8.9743589743589744E-2</v>
      </c>
      <c r="D119" s="981">
        <v>3.8461538461538464E-2</v>
      </c>
      <c r="E119" s="981">
        <v>0.29487179487179488</v>
      </c>
      <c r="F119" s="981">
        <v>0.34615384615384615</v>
      </c>
      <c r="G119" s="981">
        <v>0.15384615384615385</v>
      </c>
      <c r="H119" s="981">
        <v>0</v>
      </c>
      <c r="I119" s="953">
        <v>78</v>
      </c>
      <c r="J119" s="790"/>
      <c r="K119" s="785"/>
      <c r="L119" s="785"/>
      <c r="M119" s="785"/>
      <c r="N119" s="785"/>
      <c r="O119" s="328"/>
      <c r="P119" s="328"/>
      <c r="Q119" s="328"/>
      <c r="R119" s="328"/>
      <c r="S119" s="328"/>
      <c r="T119" s="328"/>
    </row>
    <row r="120" spans="2:20" ht="15.75">
      <c r="B120" s="381" t="s">
        <v>79</v>
      </c>
      <c r="C120" s="981">
        <v>0.54117647058823526</v>
      </c>
      <c r="D120" s="981">
        <v>9.4117647058823528E-2</v>
      </c>
      <c r="E120" s="981">
        <v>3.5294117647058823E-2</v>
      </c>
      <c r="F120" s="981">
        <v>0.14117647058823529</v>
      </c>
      <c r="G120" s="981">
        <v>5.8823529411764705E-2</v>
      </c>
      <c r="H120" s="981">
        <v>0</v>
      </c>
      <c r="I120" s="953">
        <v>85</v>
      </c>
      <c r="J120" s="790"/>
      <c r="K120" s="328"/>
      <c r="L120" s="328"/>
      <c r="M120" s="328"/>
      <c r="N120" s="328"/>
      <c r="O120" s="785"/>
      <c r="P120" s="785"/>
      <c r="Q120" s="785"/>
      <c r="R120" s="785"/>
      <c r="S120" s="785"/>
      <c r="T120" s="785"/>
    </row>
    <row r="121" spans="2:20" ht="15.75">
      <c r="B121" s="381" t="s">
        <v>131</v>
      </c>
      <c r="C121" s="981">
        <v>0.58974358974358976</v>
      </c>
      <c r="D121" s="981">
        <v>0.15384615384615385</v>
      </c>
      <c r="E121" s="981">
        <v>7.6923076923076927E-2</v>
      </c>
      <c r="F121" s="981">
        <v>7.6923076923076927E-2</v>
      </c>
      <c r="G121" s="981">
        <v>6.4102564102564097E-2</v>
      </c>
      <c r="H121" s="981">
        <v>0</v>
      </c>
      <c r="I121" s="953">
        <v>78</v>
      </c>
      <c r="J121" s="790"/>
      <c r="K121" s="328"/>
      <c r="L121" s="328"/>
      <c r="M121" s="328"/>
      <c r="N121" s="328"/>
      <c r="O121" s="328"/>
      <c r="P121" s="328"/>
      <c r="Q121" s="328"/>
      <c r="R121" s="328"/>
      <c r="S121" s="328"/>
      <c r="T121" s="328"/>
    </row>
    <row r="122" spans="2:20" ht="15.75">
      <c r="B122" s="381" t="s">
        <v>91</v>
      </c>
      <c r="C122" s="981">
        <v>0.1</v>
      </c>
      <c r="D122" s="981">
        <v>0.1</v>
      </c>
      <c r="E122" s="981">
        <v>0.2</v>
      </c>
      <c r="F122" s="981">
        <v>0.1125</v>
      </c>
      <c r="G122" s="981">
        <v>0.28749999999999998</v>
      </c>
      <c r="H122" s="981">
        <v>0.1</v>
      </c>
      <c r="I122" s="953">
        <v>80</v>
      </c>
      <c r="J122" s="790"/>
      <c r="K122" s="328"/>
      <c r="L122" s="328"/>
      <c r="M122" s="328"/>
      <c r="N122" s="328"/>
      <c r="O122" s="328"/>
      <c r="P122" s="328"/>
      <c r="Q122" s="328"/>
      <c r="R122" s="328"/>
      <c r="S122" s="328"/>
      <c r="T122" s="328"/>
    </row>
    <row r="123" spans="2:20" ht="15.75">
      <c r="B123" s="381" t="s">
        <v>83</v>
      </c>
      <c r="C123" s="981">
        <v>0.28169014084507044</v>
      </c>
      <c r="D123" s="981">
        <v>0.14084507042253522</v>
      </c>
      <c r="E123" s="981">
        <v>0.14084507042253522</v>
      </c>
      <c r="F123" s="981">
        <v>0.30985915492957744</v>
      </c>
      <c r="G123" s="981">
        <v>0.26760563380281688</v>
      </c>
      <c r="H123" s="981">
        <v>0</v>
      </c>
      <c r="I123" s="953">
        <v>71</v>
      </c>
      <c r="J123" s="790"/>
      <c r="K123" s="328"/>
      <c r="L123" s="328"/>
      <c r="M123" s="328"/>
      <c r="N123" s="328"/>
      <c r="O123" s="328"/>
      <c r="P123" s="328"/>
      <c r="Q123" s="328"/>
      <c r="R123" s="328"/>
      <c r="S123" s="328"/>
      <c r="T123" s="328"/>
    </row>
    <row r="124" spans="2:20" ht="15.75">
      <c r="B124" s="783"/>
      <c r="C124" s="785"/>
      <c r="D124" s="785"/>
      <c r="E124" s="785"/>
      <c r="F124" s="785"/>
      <c r="G124" s="785"/>
      <c r="H124" s="328"/>
      <c r="I124" s="328"/>
      <c r="J124" s="328"/>
      <c r="K124" s="328"/>
      <c r="L124" s="328"/>
      <c r="M124" s="328"/>
      <c r="N124" s="328"/>
      <c r="O124" s="328"/>
      <c r="P124" s="328"/>
      <c r="Q124" s="328"/>
      <c r="R124" s="328"/>
      <c r="S124" s="328"/>
      <c r="T124" s="328"/>
    </row>
    <row r="125" spans="2:20" ht="23.25">
      <c r="B125" s="127" t="s">
        <v>375</v>
      </c>
      <c r="C125" s="328"/>
      <c r="D125" s="328"/>
      <c r="E125" s="328"/>
      <c r="F125" s="328"/>
      <c r="G125" s="328"/>
      <c r="H125" s="328"/>
      <c r="I125" s="328"/>
      <c r="J125" s="328"/>
      <c r="K125" s="328"/>
      <c r="L125" s="328"/>
      <c r="M125" s="328"/>
      <c r="N125" s="328"/>
      <c r="O125" s="328"/>
      <c r="P125" s="328"/>
      <c r="Q125" s="328"/>
      <c r="R125" s="328"/>
      <c r="S125" s="328"/>
      <c r="T125" s="328"/>
    </row>
    <row r="126" spans="2:20" ht="15.75">
      <c r="B126" s="778" t="s">
        <v>430</v>
      </c>
      <c r="C126" s="328"/>
      <c r="D126" s="328"/>
      <c r="E126" s="328"/>
      <c r="F126" s="328"/>
      <c r="G126" s="328"/>
      <c r="H126" s="328"/>
      <c r="I126" s="328"/>
      <c r="J126" s="328"/>
      <c r="K126" s="328"/>
      <c r="L126" s="328"/>
      <c r="M126" s="328"/>
      <c r="N126" s="328"/>
      <c r="O126" s="328"/>
      <c r="P126" s="328"/>
      <c r="Q126" s="328"/>
      <c r="R126" s="328"/>
      <c r="S126" s="328"/>
      <c r="T126" s="328"/>
    </row>
    <row r="127" spans="2:20" ht="26.25">
      <c r="B127" s="866" t="s">
        <v>36</v>
      </c>
      <c r="C127" s="866" t="s">
        <v>37</v>
      </c>
      <c r="D127" s="866" t="s">
        <v>38</v>
      </c>
      <c r="E127" s="866" t="s">
        <v>6</v>
      </c>
      <c r="F127" s="866" t="s">
        <v>39</v>
      </c>
      <c r="G127" s="866" t="s">
        <v>7</v>
      </c>
      <c r="H127" s="866" t="s">
        <v>40</v>
      </c>
      <c r="J127" s="328"/>
      <c r="K127" s="328"/>
      <c r="L127" s="328"/>
      <c r="M127" s="328"/>
      <c r="N127" s="328"/>
      <c r="O127" s="328"/>
      <c r="P127" s="328"/>
      <c r="Q127" s="328"/>
      <c r="R127" s="328"/>
      <c r="S127" s="328"/>
      <c r="T127" s="328"/>
    </row>
    <row r="128" spans="2:20" ht="15.75">
      <c r="B128" s="378" t="s">
        <v>95</v>
      </c>
      <c r="C128" s="870">
        <v>50</v>
      </c>
      <c r="D128" s="870">
        <v>46</v>
      </c>
      <c r="E128" s="870">
        <v>93</v>
      </c>
      <c r="F128" s="982">
        <v>6.5910701630049612E-2</v>
      </c>
      <c r="G128" s="983">
        <v>83</v>
      </c>
      <c r="H128" s="980">
        <v>0.12048192771084337</v>
      </c>
      <c r="J128" s="328"/>
      <c r="K128" s="328"/>
      <c r="L128" s="328"/>
      <c r="M128" s="328"/>
      <c r="N128" s="328"/>
      <c r="O128" s="328"/>
      <c r="P128" s="328"/>
      <c r="Q128" s="328"/>
      <c r="R128" s="328"/>
      <c r="S128" s="328"/>
      <c r="T128" s="328"/>
    </row>
    <row r="129" spans="2:20" ht="15.75">
      <c r="B129" s="952" t="s">
        <v>100</v>
      </c>
      <c r="C129" s="953">
        <v>117</v>
      </c>
      <c r="D129" s="953">
        <v>106</v>
      </c>
      <c r="E129" s="953">
        <v>222</v>
      </c>
      <c r="F129" s="984">
        <v>0.15733522324592489</v>
      </c>
      <c r="G129" s="985">
        <v>170</v>
      </c>
      <c r="H129" s="981">
        <v>0.30588235294117649</v>
      </c>
      <c r="J129" s="328"/>
      <c r="K129" s="328"/>
      <c r="L129" s="328"/>
      <c r="M129" s="328"/>
      <c r="N129" s="328"/>
      <c r="O129" s="328"/>
      <c r="P129" s="328"/>
      <c r="Q129" s="328"/>
      <c r="R129" s="328"/>
      <c r="S129" s="328"/>
      <c r="T129" s="328"/>
    </row>
    <row r="130" spans="2:20" ht="15.75">
      <c r="B130" s="952" t="s">
        <v>52</v>
      </c>
      <c r="C130" s="953">
        <v>53</v>
      </c>
      <c r="D130" s="953">
        <v>29</v>
      </c>
      <c r="E130" s="953">
        <v>87</v>
      </c>
      <c r="F130" s="984">
        <v>6.1658398299078668E-2</v>
      </c>
      <c r="G130" s="985">
        <v>29</v>
      </c>
      <c r="H130" s="981">
        <v>2</v>
      </c>
      <c r="J130" s="328"/>
      <c r="K130" s="328"/>
      <c r="L130" s="328"/>
      <c r="M130" s="328"/>
      <c r="N130" s="328"/>
      <c r="O130" s="328"/>
      <c r="P130" s="328"/>
      <c r="Q130" s="328"/>
      <c r="R130" s="328"/>
      <c r="S130" s="328"/>
      <c r="T130" s="328"/>
    </row>
    <row r="131" spans="2:20" ht="15.75">
      <c r="B131" s="952" t="s">
        <v>112</v>
      </c>
      <c r="C131" s="953">
        <v>61</v>
      </c>
      <c r="D131" s="953">
        <v>30</v>
      </c>
      <c r="E131" s="953">
        <v>85</v>
      </c>
      <c r="F131" s="984">
        <v>6.0240963855421686E-2</v>
      </c>
      <c r="G131" s="985">
        <v>81</v>
      </c>
      <c r="H131" s="981">
        <v>4.9382716049382713E-2</v>
      </c>
      <c r="J131" s="328"/>
      <c r="K131" s="328"/>
      <c r="L131" s="328"/>
      <c r="M131" s="328"/>
      <c r="N131" s="328"/>
      <c r="O131" s="328"/>
      <c r="P131" s="328"/>
      <c r="Q131" s="328"/>
      <c r="R131" s="328"/>
      <c r="S131" s="328"/>
      <c r="T131" s="328"/>
    </row>
    <row r="132" spans="2:20">
      <c r="B132" s="952" t="s">
        <v>113</v>
      </c>
      <c r="C132" s="953">
        <v>27</v>
      </c>
      <c r="D132" s="953">
        <v>43</v>
      </c>
      <c r="E132" s="953">
        <v>75</v>
      </c>
      <c r="F132" s="984">
        <v>5.315379163713678E-2</v>
      </c>
      <c r="G132" s="985">
        <v>38</v>
      </c>
      <c r="H132" s="981">
        <v>0.97368421052631582</v>
      </c>
    </row>
    <row r="133" spans="2:20">
      <c r="B133" s="952" t="s">
        <v>97</v>
      </c>
      <c r="C133" s="953">
        <v>36</v>
      </c>
      <c r="D133" s="953">
        <v>35</v>
      </c>
      <c r="E133" s="953">
        <v>72</v>
      </c>
      <c r="F133" s="984">
        <v>5.1027639971651308E-2</v>
      </c>
      <c r="G133" s="985">
        <v>69</v>
      </c>
      <c r="H133" s="981">
        <v>4.3478260869565216E-2</v>
      </c>
    </row>
    <row r="134" spans="2:20">
      <c r="B134" s="952" t="s">
        <v>107</v>
      </c>
      <c r="C134" s="953">
        <v>18</v>
      </c>
      <c r="D134" s="953">
        <v>58</v>
      </c>
      <c r="E134" s="953">
        <v>70</v>
      </c>
      <c r="F134" s="984">
        <v>4.9610205527994333E-2</v>
      </c>
      <c r="G134" s="985">
        <v>52</v>
      </c>
      <c r="H134" s="981">
        <v>0.34615384615384615</v>
      </c>
    </row>
    <row r="135" spans="2:20">
      <c r="B135" s="952" t="s">
        <v>54</v>
      </c>
      <c r="C135" s="953">
        <v>37</v>
      </c>
      <c r="D135" s="953">
        <v>32</v>
      </c>
      <c r="E135" s="953">
        <v>66</v>
      </c>
      <c r="F135" s="984">
        <v>4.6775336640680371E-2</v>
      </c>
      <c r="G135" s="985">
        <v>40</v>
      </c>
      <c r="H135" s="981">
        <v>0.65</v>
      </c>
    </row>
    <row r="136" spans="2:20">
      <c r="B136" s="952" t="s">
        <v>53</v>
      </c>
      <c r="C136" s="953">
        <v>29</v>
      </c>
      <c r="D136" s="953">
        <v>35</v>
      </c>
      <c r="E136" s="953">
        <v>64</v>
      </c>
      <c r="F136" s="984">
        <v>4.5357902197023389E-2</v>
      </c>
      <c r="G136" s="985">
        <v>49</v>
      </c>
      <c r="H136" s="981">
        <v>0.30612244897959184</v>
      </c>
    </row>
    <row r="137" spans="2:20">
      <c r="B137" s="952" t="s">
        <v>431</v>
      </c>
      <c r="C137" s="953">
        <v>34</v>
      </c>
      <c r="D137" s="953">
        <v>19</v>
      </c>
      <c r="E137" s="953">
        <v>61</v>
      </c>
      <c r="F137" s="984">
        <v>4.3231750531537917E-2</v>
      </c>
      <c r="G137" s="985">
        <v>44</v>
      </c>
      <c r="H137" s="981">
        <v>0.38636363636363635</v>
      </c>
    </row>
    <row r="138" spans="2:20">
      <c r="B138" s="952" t="s">
        <v>98</v>
      </c>
      <c r="C138" s="953">
        <v>29</v>
      </c>
      <c r="D138" s="953">
        <v>17</v>
      </c>
      <c r="E138" s="953">
        <v>46</v>
      </c>
      <c r="F138" s="984">
        <v>3.2600992204110557E-2</v>
      </c>
      <c r="G138" s="985">
        <v>50</v>
      </c>
      <c r="H138" s="981">
        <v>-0.08</v>
      </c>
    </row>
    <row r="139" spans="2:20">
      <c r="B139" s="952" t="s">
        <v>103</v>
      </c>
      <c r="C139" s="953">
        <v>23</v>
      </c>
      <c r="D139" s="953">
        <v>10</v>
      </c>
      <c r="E139" s="953">
        <v>39</v>
      </c>
      <c r="F139" s="984">
        <v>2.7639971651311126E-2</v>
      </c>
      <c r="G139" s="985">
        <v>19</v>
      </c>
      <c r="H139" s="981">
        <v>1.0526315789473684</v>
      </c>
    </row>
    <row r="140" spans="2:20">
      <c r="B140" s="952" t="s">
        <v>105</v>
      </c>
      <c r="C140" s="953">
        <v>17</v>
      </c>
      <c r="D140" s="953">
        <v>15</v>
      </c>
      <c r="E140" s="953">
        <v>38</v>
      </c>
      <c r="F140" s="984">
        <v>2.6931254429482635E-2</v>
      </c>
      <c r="G140" s="985">
        <v>41</v>
      </c>
      <c r="H140" s="981">
        <v>-7.3170731707317069E-2</v>
      </c>
    </row>
    <row r="141" spans="2:20">
      <c r="B141" s="952" t="s">
        <v>111</v>
      </c>
      <c r="C141" s="953">
        <v>16</v>
      </c>
      <c r="D141" s="953">
        <v>16</v>
      </c>
      <c r="E141" s="953">
        <v>30</v>
      </c>
      <c r="F141" s="984">
        <v>2.1261516654854713E-2</v>
      </c>
      <c r="G141" s="985">
        <v>27</v>
      </c>
      <c r="H141" s="981">
        <v>0.1111111111111111</v>
      </c>
    </row>
    <row r="142" spans="2:20">
      <c r="B142" s="952" t="s">
        <v>194</v>
      </c>
      <c r="C142" s="953">
        <v>9</v>
      </c>
      <c r="D142" s="953">
        <v>8</v>
      </c>
      <c r="E142" s="953">
        <v>21</v>
      </c>
      <c r="F142" s="984">
        <v>1.4883061658398299E-2</v>
      </c>
      <c r="G142" s="985">
        <v>6</v>
      </c>
      <c r="H142" s="981">
        <v>2.5</v>
      </c>
    </row>
    <row r="143" spans="2:20">
      <c r="B143" s="952" t="s">
        <v>101</v>
      </c>
      <c r="C143" s="953">
        <v>15</v>
      </c>
      <c r="D143" s="953">
        <v>9</v>
      </c>
      <c r="E143" s="953">
        <v>20</v>
      </c>
      <c r="F143" s="984">
        <v>1.4174344436569808E-2</v>
      </c>
      <c r="G143" s="874">
        <v>13</v>
      </c>
      <c r="H143" s="981">
        <v>0.53846153846153844</v>
      </c>
    </row>
    <row r="144" spans="2:20">
      <c r="B144" s="952" t="s">
        <v>109</v>
      </c>
      <c r="C144" s="953">
        <v>19</v>
      </c>
      <c r="D144" s="953">
        <v>8</v>
      </c>
      <c r="E144" s="953">
        <v>20</v>
      </c>
      <c r="F144" s="984">
        <v>1.4174344436569808E-2</v>
      </c>
      <c r="G144" s="874">
        <v>0</v>
      </c>
      <c r="H144" s="981">
        <v>0</v>
      </c>
    </row>
    <row r="145" spans="2:9">
      <c r="B145" s="952" t="s">
        <v>104</v>
      </c>
      <c r="C145" s="953">
        <v>8</v>
      </c>
      <c r="D145" s="953">
        <v>6</v>
      </c>
      <c r="E145" s="953">
        <v>18</v>
      </c>
      <c r="F145" s="984">
        <v>1.2756909992912827E-2</v>
      </c>
      <c r="G145" s="874">
        <v>23</v>
      </c>
      <c r="H145" s="981">
        <v>-0.21739130434782608</v>
      </c>
    </row>
    <row r="146" spans="2:9">
      <c r="B146" s="952" t="s">
        <v>432</v>
      </c>
      <c r="C146" s="953">
        <v>9</v>
      </c>
      <c r="D146" s="953">
        <v>4</v>
      </c>
      <c r="E146" s="953">
        <v>14</v>
      </c>
      <c r="F146" s="984">
        <v>9.922041105598866E-3</v>
      </c>
      <c r="G146" s="874">
        <v>12</v>
      </c>
      <c r="H146" s="981">
        <v>0.16666666666666666</v>
      </c>
    </row>
    <row r="147" spans="2:9">
      <c r="B147" s="952" t="s">
        <v>406</v>
      </c>
      <c r="C147" s="953">
        <v>3</v>
      </c>
      <c r="D147" s="953">
        <v>7</v>
      </c>
      <c r="E147" s="953">
        <v>13</v>
      </c>
      <c r="F147" s="984">
        <v>9.2133238837703753E-3</v>
      </c>
      <c r="G147" s="874">
        <v>0</v>
      </c>
      <c r="H147" s="981">
        <v>0</v>
      </c>
    </row>
    <row r="148" spans="2:9">
      <c r="B148" s="952" t="s">
        <v>191</v>
      </c>
      <c r="C148" s="953">
        <v>6</v>
      </c>
      <c r="D148" s="953">
        <v>0</v>
      </c>
      <c r="E148" s="953">
        <v>12</v>
      </c>
      <c r="F148" s="984">
        <v>8.5046066619418846E-3</v>
      </c>
      <c r="G148" s="874">
        <v>4</v>
      </c>
      <c r="H148" s="981">
        <v>2</v>
      </c>
    </row>
    <row r="149" spans="2:9">
      <c r="B149" s="878" t="s">
        <v>411</v>
      </c>
      <c r="C149" s="883">
        <v>166</v>
      </c>
      <c r="D149" s="883">
        <v>103</v>
      </c>
      <c r="E149" s="883">
        <v>245</v>
      </c>
      <c r="F149" s="986">
        <v>0.17363571934798017</v>
      </c>
      <c r="G149" s="883">
        <v>171</v>
      </c>
      <c r="H149" s="987">
        <v>0.43274853801169588</v>
      </c>
    </row>
    <row r="150" spans="2:9">
      <c r="B150" s="760" t="s">
        <v>874</v>
      </c>
      <c r="C150" s="828">
        <v>782</v>
      </c>
      <c r="D150" s="828">
        <v>636</v>
      </c>
      <c r="E150" s="828">
        <v>1411</v>
      </c>
      <c r="F150" s="988">
        <v>1</v>
      </c>
      <c r="G150" s="989">
        <v>1021</v>
      </c>
      <c r="H150" s="990">
        <v>0.38197845249755141</v>
      </c>
    </row>
    <row r="151" spans="2:9">
      <c r="B151" s="389" t="s">
        <v>873</v>
      </c>
      <c r="C151" s="991"/>
      <c r="D151" s="991"/>
      <c r="E151" s="991"/>
      <c r="F151" s="832"/>
      <c r="G151" s="991"/>
      <c r="H151" s="831"/>
      <c r="I151" s="833"/>
    </row>
    <row r="152" spans="2:9">
      <c r="B152" s="831"/>
      <c r="C152" s="991"/>
      <c r="D152" s="991"/>
      <c r="E152" s="991"/>
      <c r="F152" s="832"/>
      <c r="G152" s="991"/>
      <c r="H152" s="831"/>
      <c r="I152" s="833"/>
    </row>
    <row r="153" spans="2:9" ht="23.25">
      <c r="B153" s="127" t="s">
        <v>376</v>
      </c>
      <c r="C153" s="328"/>
      <c r="D153" s="328"/>
      <c r="E153" s="328"/>
      <c r="F153" s="328"/>
      <c r="G153" s="328"/>
      <c r="H153" s="328"/>
      <c r="I153" s="328"/>
    </row>
    <row r="154" spans="2:9" ht="15.75">
      <c r="B154" s="778" t="s">
        <v>825</v>
      </c>
      <c r="C154" s="328"/>
      <c r="D154" s="328"/>
      <c r="E154" s="328"/>
      <c r="F154" s="328"/>
      <c r="G154" s="328"/>
      <c r="H154" s="328"/>
      <c r="I154" s="328"/>
    </row>
    <row r="155" spans="2:9">
      <c r="B155" s="992" t="s">
        <v>36</v>
      </c>
      <c r="C155" s="993"/>
      <c r="D155" s="993" t="s">
        <v>42</v>
      </c>
      <c r="E155" s="993" t="s">
        <v>43</v>
      </c>
      <c r="F155" s="993" t="s">
        <v>44</v>
      </c>
      <c r="G155" s="993" t="s">
        <v>45</v>
      </c>
      <c r="H155" s="994" t="s">
        <v>46</v>
      </c>
      <c r="I155" s="995" t="s">
        <v>28</v>
      </c>
    </row>
    <row r="156" spans="2:9" ht="15" customHeight="1">
      <c r="B156" s="185" t="s">
        <v>95</v>
      </c>
      <c r="C156" s="186"/>
      <c r="D156" s="186"/>
      <c r="E156" s="186"/>
      <c r="F156" s="186"/>
      <c r="G156" s="186"/>
      <c r="H156" s="423"/>
      <c r="I156" s="996"/>
    </row>
    <row r="157" spans="2:9" ht="15" customHeight="1">
      <c r="B157" s="188" t="s">
        <v>48</v>
      </c>
      <c r="C157" s="238"/>
      <c r="D157" s="238">
        <v>18</v>
      </c>
      <c r="E157" s="238">
        <v>3</v>
      </c>
      <c r="F157" s="238">
        <v>26</v>
      </c>
      <c r="G157" s="238">
        <v>26</v>
      </c>
      <c r="H157" s="425">
        <v>6</v>
      </c>
      <c r="I157" s="997">
        <v>80</v>
      </c>
    </row>
    <row r="158" spans="2:9" ht="15" customHeight="1">
      <c r="B158" s="191" t="s">
        <v>49</v>
      </c>
      <c r="C158" s="241"/>
      <c r="D158" s="241">
        <v>0</v>
      </c>
      <c r="E158" s="241">
        <v>0</v>
      </c>
      <c r="F158" s="241">
        <v>4</v>
      </c>
      <c r="G158" s="241">
        <v>0</v>
      </c>
      <c r="H158" s="427">
        <v>0</v>
      </c>
      <c r="I158" s="998">
        <v>4</v>
      </c>
    </row>
    <row r="159" spans="2:9" ht="15" customHeight="1">
      <c r="B159" s="188" t="s">
        <v>50</v>
      </c>
      <c r="C159" s="238"/>
      <c r="D159" s="238">
        <v>26</v>
      </c>
      <c r="E159" s="238">
        <v>10</v>
      </c>
      <c r="F159" s="238">
        <v>32</v>
      </c>
      <c r="G159" s="238">
        <v>26</v>
      </c>
      <c r="H159" s="425">
        <v>5</v>
      </c>
      <c r="I159" s="997">
        <v>93</v>
      </c>
    </row>
    <row r="160" spans="2:9" ht="15" customHeight="1">
      <c r="B160" s="194" t="s">
        <v>51</v>
      </c>
      <c r="C160" s="96"/>
      <c r="D160" s="96">
        <v>0</v>
      </c>
      <c r="E160" s="96">
        <v>0</v>
      </c>
      <c r="F160" s="96">
        <v>0.125</v>
      </c>
      <c r="G160" s="96">
        <v>0</v>
      </c>
      <c r="H160" s="429">
        <v>0</v>
      </c>
      <c r="I160" s="999">
        <v>4.3010752688172102E-2</v>
      </c>
    </row>
    <row r="161" spans="2:9" ht="15" customHeight="1">
      <c r="B161" s="195" t="s">
        <v>100</v>
      </c>
      <c r="C161" s="196"/>
      <c r="D161" s="196"/>
      <c r="E161" s="196"/>
      <c r="F161" s="196"/>
      <c r="G161" s="196"/>
      <c r="H161" s="431"/>
      <c r="I161" s="1000"/>
    </row>
    <row r="162" spans="2:9" ht="15" customHeight="1">
      <c r="B162" s="191" t="s">
        <v>48</v>
      </c>
      <c r="C162" s="241"/>
      <c r="D162" s="241">
        <v>23</v>
      </c>
      <c r="E162" s="241">
        <v>17</v>
      </c>
      <c r="F162" s="241">
        <v>28</v>
      </c>
      <c r="G162" s="241">
        <v>40</v>
      </c>
      <c r="H162" s="427">
        <v>0</v>
      </c>
      <c r="I162" s="998">
        <v>112</v>
      </c>
    </row>
    <row r="163" spans="2:9" ht="15" customHeight="1">
      <c r="B163" s="188" t="s">
        <v>49</v>
      </c>
      <c r="C163" s="238"/>
      <c r="D163" s="238">
        <v>9</v>
      </c>
      <c r="E163" s="238">
        <v>0</v>
      </c>
      <c r="F163" s="238">
        <v>39</v>
      </c>
      <c r="G163" s="238">
        <v>42</v>
      </c>
      <c r="H163" s="425">
        <v>4</v>
      </c>
      <c r="I163" s="997">
        <v>103</v>
      </c>
    </row>
    <row r="164" spans="2:9" ht="15" customHeight="1">
      <c r="B164" s="191" t="s">
        <v>50</v>
      </c>
      <c r="C164" s="241"/>
      <c r="D164" s="241">
        <v>36</v>
      </c>
      <c r="E164" s="241">
        <v>25</v>
      </c>
      <c r="F164" s="241">
        <v>70</v>
      </c>
      <c r="G164" s="241">
        <v>86</v>
      </c>
      <c r="H164" s="427">
        <v>10</v>
      </c>
      <c r="I164" s="998">
        <v>222</v>
      </c>
    </row>
    <row r="165" spans="2:9" ht="15" customHeight="1">
      <c r="B165" s="202" t="s">
        <v>51</v>
      </c>
      <c r="C165" s="101"/>
      <c r="D165" s="101">
        <v>0.25</v>
      </c>
      <c r="E165" s="101">
        <v>0</v>
      </c>
      <c r="F165" s="101">
        <v>0.55714285714285705</v>
      </c>
      <c r="G165" s="101">
        <v>0.48837209302325602</v>
      </c>
      <c r="H165" s="433">
        <v>0.4</v>
      </c>
      <c r="I165" s="1001">
        <v>0.463963963963964</v>
      </c>
    </row>
    <row r="166" spans="2:9" ht="15" customHeight="1">
      <c r="B166" s="185" t="s">
        <v>52</v>
      </c>
      <c r="C166" s="186"/>
      <c r="D166" s="186"/>
      <c r="E166" s="186"/>
      <c r="F166" s="186"/>
      <c r="G166" s="186"/>
      <c r="H166" s="427"/>
      <c r="I166" s="996"/>
    </row>
    <row r="167" spans="2:9" ht="15" customHeight="1">
      <c r="B167" s="188" t="s">
        <v>48</v>
      </c>
      <c r="C167" s="238"/>
      <c r="D167" s="238">
        <v>4</v>
      </c>
      <c r="E167" s="238">
        <v>0</v>
      </c>
      <c r="F167" s="239">
        <v>41</v>
      </c>
      <c r="G167" s="434">
        <v>27</v>
      </c>
      <c r="H167" s="425">
        <v>10</v>
      </c>
      <c r="I167" s="997">
        <v>81</v>
      </c>
    </row>
    <row r="168" spans="2:9" ht="15" customHeight="1">
      <c r="B168" s="191" t="s">
        <v>49</v>
      </c>
      <c r="C168" s="241"/>
      <c r="D168" s="241">
        <v>3</v>
      </c>
      <c r="E168" s="241">
        <v>0</v>
      </c>
      <c r="F168" s="242">
        <v>0</v>
      </c>
      <c r="G168" s="241">
        <v>0</v>
      </c>
      <c r="H168" s="427">
        <v>0</v>
      </c>
      <c r="I168" s="998">
        <v>4</v>
      </c>
    </row>
    <row r="169" spans="2:9" ht="15" customHeight="1">
      <c r="B169" s="188" t="s">
        <v>50</v>
      </c>
      <c r="C169" s="238"/>
      <c r="D169" s="238">
        <v>9</v>
      </c>
      <c r="E169" s="238">
        <v>0</v>
      </c>
      <c r="F169" s="238">
        <v>43</v>
      </c>
      <c r="G169" s="435">
        <v>26</v>
      </c>
      <c r="H169" s="425">
        <v>7</v>
      </c>
      <c r="I169" s="997">
        <v>87</v>
      </c>
    </row>
    <row r="170" spans="2:9" ht="15" customHeight="1">
      <c r="B170" s="194" t="s">
        <v>51</v>
      </c>
      <c r="C170" s="96"/>
      <c r="D170" s="96">
        <v>0.33333333333333298</v>
      </c>
      <c r="E170" s="96">
        <v>0</v>
      </c>
      <c r="F170" s="96">
        <v>0</v>
      </c>
      <c r="G170" s="96">
        <v>0</v>
      </c>
      <c r="H170" s="429">
        <v>0</v>
      </c>
      <c r="I170" s="999">
        <v>4.5977011494252901E-2</v>
      </c>
    </row>
    <row r="171" spans="2:9" ht="15" customHeight="1">
      <c r="B171" s="195" t="s">
        <v>112</v>
      </c>
      <c r="C171" s="196"/>
      <c r="D171" s="196"/>
      <c r="E171" s="196"/>
      <c r="F171" s="196"/>
      <c r="G171" s="196"/>
      <c r="H171" s="431"/>
      <c r="I171" s="1000"/>
    </row>
    <row r="172" spans="2:9" ht="15" customHeight="1">
      <c r="B172" s="191" t="s">
        <v>48</v>
      </c>
      <c r="C172" s="241"/>
      <c r="D172" s="241">
        <v>17</v>
      </c>
      <c r="E172" s="241">
        <v>5</v>
      </c>
      <c r="F172" s="241">
        <v>27</v>
      </c>
      <c r="G172" s="241">
        <v>22</v>
      </c>
      <c r="H172" s="427">
        <v>10</v>
      </c>
      <c r="I172" s="998">
        <v>80</v>
      </c>
    </row>
    <row r="173" spans="2:9" ht="15" customHeight="1">
      <c r="B173" s="188" t="s">
        <v>49</v>
      </c>
      <c r="C173" s="238"/>
      <c r="D173" s="238">
        <v>0</v>
      </c>
      <c r="E173" s="238">
        <v>0</v>
      </c>
      <c r="F173" s="238">
        <v>0</v>
      </c>
      <c r="G173" s="238">
        <v>0</v>
      </c>
      <c r="H173" s="425">
        <v>0</v>
      </c>
      <c r="I173" s="997">
        <v>4</v>
      </c>
    </row>
    <row r="174" spans="2:9" ht="15" customHeight="1">
      <c r="B174" s="191" t="s">
        <v>50</v>
      </c>
      <c r="C174" s="241"/>
      <c r="D174" s="241">
        <v>18</v>
      </c>
      <c r="E174" s="241">
        <v>8</v>
      </c>
      <c r="F174" s="241">
        <v>29</v>
      </c>
      <c r="G174" s="241">
        <v>24</v>
      </c>
      <c r="H174" s="427">
        <v>10</v>
      </c>
      <c r="I174" s="998">
        <v>85</v>
      </c>
    </row>
    <row r="175" spans="2:9" ht="15" customHeight="1">
      <c r="B175" s="202" t="s">
        <v>51</v>
      </c>
      <c r="C175" s="98"/>
      <c r="D175" s="98">
        <v>0</v>
      </c>
      <c r="E175" s="98">
        <v>0</v>
      </c>
      <c r="F175" s="98">
        <v>0</v>
      </c>
      <c r="G175" s="98">
        <v>0</v>
      </c>
      <c r="H175" s="436">
        <v>0</v>
      </c>
      <c r="I175" s="1001">
        <v>4.7058823529411799E-2</v>
      </c>
    </row>
    <row r="176" spans="2:9" ht="15" customHeight="1">
      <c r="B176" s="185" t="s">
        <v>113</v>
      </c>
      <c r="C176" s="186"/>
      <c r="D176" s="186"/>
      <c r="E176" s="186"/>
      <c r="F176" s="186"/>
      <c r="G176" s="186"/>
      <c r="H176" s="423"/>
      <c r="I176" s="996"/>
    </row>
    <row r="177" spans="2:13" ht="15" customHeight="1">
      <c r="B177" s="188" t="s">
        <v>48</v>
      </c>
      <c r="C177" s="238"/>
      <c r="D177" s="238">
        <v>13</v>
      </c>
      <c r="E177" s="238">
        <v>5</v>
      </c>
      <c r="F177" s="238">
        <v>28</v>
      </c>
      <c r="G177" s="238">
        <v>21</v>
      </c>
      <c r="H177" s="425">
        <v>6</v>
      </c>
      <c r="I177" s="997">
        <v>71</v>
      </c>
    </row>
    <row r="178" spans="2:13" ht="15" customHeight="1">
      <c r="B178" s="191" t="s">
        <v>49</v>
      </c>
      <c r="C178" s="241"/>
      <c r="D178" s="241">
        <v>3</v>
      </c>
      <c r="E178" s="241">
        <v>0</v>
      </c>
      <c r="F178" s="241">
        <v>8</v>
      </c>
      <c r="G178" s="241">
        <v>0</v>
      </c>
      <c r="H178" s="427">
        <v>0</v>
      </c>
      <c r="I178" s="998">
        <v>6</v>
      </c>
    </row>
    <row r="179" spans="2:13" ht="15" customHeight="1">
      <c r="B179" s="188" t="s">
        <v>50</v>
      </c>
      <c r="C179" s="238"/>
      <c r="D179" s="238">
        <v>17</v>
      </c>
      <c r="E179" s="238">
        <v>5</v>
      </c>
      <c r="F179" s="238">
        <v>25</v>
      </c>
      <c r="G179" s="238">
        <v>18</v>
      </c>
      <c r="H179" s="425">
        <v>6</v>
      </c>
      <c r="I179" s="997">
        <v>75</v>
      </c>
    </row>
    <row r="180" spans="2:13" ht="15" customHeight="1">
      <c r="B180" s="194" t="s">
        <v>51</v>
      </c>
      <c r="C180" s="96"/>
      <c r="D180" s="96">
        <v>0.17647058823529399</v>
      </c>
      <c r="E180" s="96">
        <v>0</v>
      </c>
      <c r="F180" s="96">
        <v>0.32</v>
      </c>
      <c r="G180" s="96">
        <v>0</v>
      </c>
      <c r="H180" s="429">
        <v>0</v>
      </c>
      <c r="I180" s="1002">
        <v>8</v>
      </c>
    </row>
    <row r="181" spans="2:13" ht="15" customHeight="1">
      <c r="B181" s="195" t="s">
        <v>97</v>
      </c>
      <c r="C181" s="196"/>
      <c r="D181" s="196"/>
      <c r="E181" s="196"/>
      <c r="F181" s="196"/>
      <c r="G181" s="196"/>
      <c r="H181" s="431"/>
      <c r="I181" s="1000"/>
    </row>
    <row r="182" spans="2:13" ht="15" customHeight="1">
      <c r="B182" s="191" t="s">
        <v>48</v>
      </c>
      <c r="C182" s="207"/>
      <c r="D182" s="207">
        <v>11</v>
      </c>
      <c r="E182" s="207" t="s">
        <v>94</v>
      </c>
      <c r="F182" s="207">
        <v>19</v>
      </c>
      <c r="G182" s="207">
        <v>26</v>
      </c>
      <c r="H182" s="935">
        <v>19</v>
      </c>
      <c r="I182" s="998">
        <v>76</v>
      </c>
    </row>
    <row r="183" spans="2:13" ht="15" customHeight="1">
      <c r="B183" s="188" t="s">
        <v>49</v>
      </c>
      <c r="C183" s="209"/>
      <c r="D183" s="209" t="s">
        <v>94</v>
      </c>
      <c r="E183" s="209" t="s">
        <v>94</v>
      </c>
      <c r="F183" s="209" t="s">
        <v>94</v>
      </c>
      <c r="G183" s="209" t="s">
        <v>94</v>
      </c>
      <c r="H183" s="936" t="s">
        <v>94</v>
      </c>
      <c r="I183" s="997">
        <v>0</v>
      </c>
    </row>
    <row r="184" spans="2:13" ht="15" customHeight="1">
      <c r="B184" s="191" t="s">
        <v>50</v>
      </c>
      <c r="C184" s="207"/>
      <c r="D184" s="207">
        <v>10</v>
      </c>
      <c r="E184" s="207" t="s">
        <v>94</v>
      </c>
      <c r="F184" s="207">
        <v>19</v>
      </c>
      <c r="G184" s="207">
        <v>26</v>
      </c>
      <c r="H184" s="935">
        <v>19</v>
      </c>
      <c r="I184" s="998">
        <v>76</v>
      </c>
      <c r="J184" s="328"/>
      <c r="K184" s="328"/>
      <c r="L184" s="328"/>
      <c r="M184" s="328"/>
    </row>
    <row r="185" spans="2:13" ht="15" customHeight="1">
      <c r="B185" s="1003" t="s">
        <v>51</v>
      </c>
      <c r="C185" s="438"/>
      <c r="D185" s="438">
        <v>0</v>
      </c>
      <c r="E185" s="438">
        <v>0</v>
      </c>
      <c r="F185" s="438">
        <v>0</v>
      </c>
      <c r="G185" s="438">
        <v>0</v>
      </c>
      <c r="H185" s="439">
        <v>0</v>
      </c>
      <c r="I185" s="1004">
        <v>0</v>
      </c>
      <c r="J185" s="328"/>
      <c r="K185" s="328"/>
      <c r="L185" s="328"/>
      <c r="M185" s="328"/>
    </row>
    <row r="186" spans="2:13" ht="15" customHeight="1">
      <c r="B186" s="185" t="s">
        <v>114</v>
      </c>
      <c r="C186" s="186"/>
      <c r="D186" s="186"/>
      <c r="E186" s="186"/>
      <c r="F186" s="186"/>
      <c r="G186" s="186"/>
      <c r="H186" s="423"/>
      <c r="I186" s="996"/>
      <c r="J186" s="328"/>
      <c r="K186" s="328"/>
      <c r="L186" s="328"/>
      <c r="M186" s="328"/>
    </row>
    <row r="187" spans="2:13" ht="15" customHeight="1">
      <c r="B187" s="188" t="s">
        <v>48</v>
      </c>
      <c r="C187" s="238"/>
      <c r="D187" s="238">
        <v>138</v>
      </c>
      <c r="E187" s="238">
        <v>101</v>
      </c>
      <c r="F187" s="238">
        <v>424</v>
      </c>
      <c r="G187" s="238">
        <v>351</v>
      </c>
      <c r="H187" s="425">
        <v>130</v>
      </c>
      <c r="I187" s="997">
        <v>1144</v>
      </c>
      <c r="J187" s="328"/>
      <c r="K187" s="328"/>
      <c r="L187" s="328"/>
      <c r="M187" s="328"/>
    </row>
    <row r="188" spans="2:13" ht="15" customHeight="1">
      <c r="B188" s="191" t="s">
        <v>49</v>
      </c>
      <c r="C188" s="241"/>
      <c r="D188" s="241">
        <v>40</v>
      </c>
      <c r="E188" s="241">
        <v>7</v>
      </c>
      <c r="F188" s="241">
        <v>77</v>
      </c>
      <c r="G188" s="241">
        <v>93</v>
      </c>
      <c r="H188" s="427">
        <v>18</v>
      </c>
      <c r="I188" s="998">
        <v>234</v>
      </c>
      <c r="J188" s="328"/>
      <c r="K188" s="328"/>
      <c r="L188" s="328"/>
      <c r="M188" s="328"/>
    </row>
    <row r="189" spans="2:13" ht="15" customHeight="1">
      <c r="B189" s="188" t="s">
        <v>50</v>
      </c>
      <c r="C189" s="238"/>
      <c r="D189" s="238">
        <v>185</v>
      </c>
      <c r="E189" s="238">
        <v>115</v>
      </c>
      <c r="F189" s="238">
        <v>510</v>
      </c>
      <c r="G189" s="238">
        <v>455</v>
      </c>
      <c r="H189" s="425">
        <v>153</v>
      </c>
      <c r="I189" s="997">
        <v>1411</v>
      </c>
      <c r="J189" s="328"/>
      <c r="K189" s="328"/>
      <c r="L189" s="328"/>
      <c r="M189" s="328"/>
    </row>
    <row r="190" spans="2:13" ht="15" customHeight="1">
      <c r="B190" s="194" t="s">
        <v>51</v>
      </c>
      <c r="C190" s="96"/>
      <c r="D190" s="96">
        <v>0.21621621621621601</v>
      </c>
      <c r="E190" s="96">
        <v>6.08695652173913E-2</v>
      </c>
      <c r="F190" s="96">
        <v>0.15098039215686301</v>
      </c>
      <c r="G190" s="96">
        <v>0.204395604395604</v>
      </c>
      <c r="H190" s="429">
        <v>0.11764705882352899</v>
      </c>
      <c r="I190" s="999">
        <v>0.165839829907867</v>
      </c>
      <c r="J190" s="328"/>
      <c r="K190" s="328"/>
      <c r="L190" s="328"/>
      <c r="M190" s="328"/>
    </row>
    <row r="192" spans="2:13" ht="15.75">
      <c r="B192" s="328"/>
      <c r="C192" s="328"/>
      <c r="D192" s="328"/>
      <c r="E192" s="328"/>
      <c r="F192" s="328"/>
      <c r="G192" s="328"/>
      <c r="H192" s="328"/>
      <c r="I192" s="328"/>
      <c r="J192" s="849"/>
      <c r="K192" s="849"/>
      <c r="L192" s="849"/>
      <c r="M192" s="849"/>
    </row>
    <row r="193" spans="2:13">
      <c r="B193" s="778" t="s">
        <v>381</v>
      </c>
      <c r="C193" s="1251"/>
      <c r="D193" s="1252"/>
      <c r="E193" s="1252"/>
      <c r="F193" s="1252"/>
      <c r="G193" s="1252"/>
      <c r="H193" s="1005"/>
      <c r="I193" s="1005"/>
      <c r="J193" s="1006"/>
      <c r="K193" s="715"/>
      <c r="L193" s="715"/>
      <c r="M193" s="715"/>
    </row>
    <row r="194" spans="2:13" ht="15.75">
      <c r="B194" s="778" t="s">
        <v>830</v>
      </c>
      <c r="C194" s="1007"/>
      <c r="D194" s="1007"/>
      <c r="E194" s="1007"/>
      <c r="F194" s="1007"/>
      <c r="G194" s="1007"/>
      <c r="H194" s="1008"/>
      <c r="I194" s="1008"/>
      <c r="J194" s="1008"/>
      <c r="K194" s="328"/>
      <c r="L194" s="328"/>
      <c r="M194" s="328"/>
    </row>
    <row r="195" spans="2:13" ht="38.25" customHeight="1">
      <c r="B195" s="1009"/>
      <c r="C195" s="1255" t="s">
        <v>125</v>
      </c>
      <c r="D195" s="1256"/>
      <c r="E195" s="1256"/>
      <c r="F195" s="1257"/>
      <c r="G195" s="1258" t="s">
        <v>10</v>
      </c>
      <c r="H195" s="1260" t="s">
        <v>58</v>
      </c>
      <c r="I195" s="1262" t="s">
        <v>70</v>
      </c>
    </row>
    <row r="196" spans="2:13" ht="66.75" customHeight="1">
      <c r="B196" s="1010" t="s">
        <v>879</v>
      </c>
      <c r="C196" s="858" t="s">
        <v>61</v>
      </c>
      <c r="D196" s="858" t="s">
        <v>60</v>
      </c>
      <c r="E196" s="858" t="s">
        <v>59</v>
      </c>
      <c r="F196" s="859" t="s">
        <v>414</v>
      </c>
      <c r="G196" s="1259"/>
      <c r="H196" s="1261"/>
      <c r="I196" s="1263"/>
    </row>
    <row r="197" spans="2:13" ht="15" customHeight="1">
      <c r="B197" s="749" t="s">
        <v>116</v>
      </c>
      <c r="C197" s="797">
        <v>7403</v>
      </c>
      <c r="D197" s="797">
        <v>104</v>
      </c>
      <c r="E197" s="797">
        <v>1362</v>
      </c>
      <c r="F197" s="797">
        <v>147</v>
      </c>
      <c r="G197" s="797">
        <v>153</v>
      </c>
      <c r="H197" s="797">
        <v>226</v>
      </c>
      <c r="I197" s="797">
        <v>9395</v>
      </c>
      <c r="L197" s="1011"/>
    </row>
    <row r="198" spans="2:13">
      <c r="B198" s="1012" t="s">
        <v>115</v>
      </c>
      <c r="C198" s="1013">
        <v>4582</v>
      </c>
      <c r="D198" s="1013">
        <v>389</v>
      </c>
      <c r="E198" s="1013">
        <v>1050</v>
      </c>
      <c r="F198" s="1013">
        <v>90</v>
      </c>
      <c r="G198" s="1013">
        <v>1086</v>
      </c>
      <c r="H198" s="1013">
        <v>205</v>
      </c>
      <c r="I198" s="1013">
        <v>7402</v>
      </c>
      <c r="L198" s="1011"/>
    </row>
    <row r="199" spans="2:13">
      <c r="B199" s="1014" t="s">
        <v>117</v>
      </c>
      <c r="C199" s="1015">
        <v>1623</v>
      </c>
      <c r="D199" s="1015">
        <v>75</v>
      </c>
      <c r="E199" s="1015">
        <v>263</v>
      </c>
      <c r="F199" s="1015">
        <v>30</v>
      </c>
      <c r="G199" s="1015">
        <v>286</v>
      </c>
      <c r="H199" s="1015">
        <v>56</v>
      </c>
      <c r="I199" s="1015">
        <v>2333</v>
      </c>
      <c r="L199" s="1011"/>
    </row>
    <row r="200" spans="2:13">
      <c r="B200" s="1012" t="s">
        <v>119</v>
      </c>
      <c r="C200" s="1013">
        <v>1272</v>
      </c>
      <c r="D200" s="1013">
        <v>109</v>
      </c>
      <c r="E200" s="1013">
        <v>247</v>
      </c>
      <c r="F200" s="1013">
        <v>23</v>
      </c>
      <c r="G200" s="1013">
        <v>269</v>
      </c>
      <c r="H200" s="1013">
        <v>47</v>
      </c>
      <c r="I200" s="1013">
        <v>1967</v>
      </c>
      <c r="L200" s="1011"/>
    </row>
    <row r="201" spans="2:13">
      <c r="B201" s="1014" t="s">
        <v>97</v>
      </c>
      <c r="C201" s="1015">
        <v>716</v>
      </c>
      <c r="D201" s="1015">
        <v>85</v>
      </c>
      <c r="E201" s="1015">
        <v>133</v>
      </c>
      <c r="F201" s="1015">
        <v>8</v>
      </c>
      <c r="G201" s="1015">
        <v>132</v>
      </c>
      <c r="H201" s="1015">
        <v>30</v>
      </c>
      <c r="I201" s="1015">
        <v>1104</v>
      </c>
      <c r="L201" s="1011"/>
    </row>
    <row r="202" spans="2:13">
      <c r="B202" s="1012" t="s">
        <v>98</v>
      </c>
      <c r="C202" s="1013">
        <v>244</v>
      </c>
      <c r="D202" s="1013">
        <v>59</v>
      </c>
      <c r="E202" s="1013">
        <v>89</v>
      </c>
      <c r="F202" s="1013">
        <v>0</v>
      </c>
      <c r="G202" s="1013">
        <v>61</v>
      </c>
      <c r="H202" s="1013">
        <v>7</v>
      </c>
      <c r="I202" s="1013">
        <v>460</v>
      </c>
      <c r="L202" s="1011"/>
    </row>
    <row r="203" spans="2:13">
      <c r="B203" s="1014" t="s">
        <v>111</v>
      </c>
      <c r="C203" s="1015">
        <v>111</v>
      </c>
      <c r="D203" s="1015">
        <v>88</v>
      </c>
      <c r="E203" s="1015">
        <v>95</v>
      </c>
      <c r="F203" s="1015">
        <v>0</v>
      </c>
      <c r="G203" s="1015">
        <v>88</v>
      </c>
      <c r="H203" s="1015">
        <v>5</v>
      </c>
      <c r="I203" s="1015">
        <v>387</v>
      </c>
      <c r="L203" s="1011"/>
    </row>
    <row r="204" spans="2:13">
      <c r="B204" s="1012" t="s">
        <v>54</v>
      </c>
      <c r="C204" s="1013">
        <v>18</v>
      </c>
      <c r="D204" s="1013">
        <v>26</v>
      </c>
      <c r="E204" s="1013">
        <v>50</v>
      </c>
      <c r="F204" s="1013">
        <v>0</v>
      </c>
      <c r="G204" s="1013">
        <v>197</v>
      </c>
      <c r="H204" s="1013">
        <v>6</v>
      </c>
      <c r="I204" s="1013">
        <v>297</v>
      </c>
      <c r="L204" s="1011"/>
    </row>
    <row r="205" spans="2:13">
      <c r="B205" s="749" t="s">
        <v>121</v>
      </c>
      <c r="C205" s="1015">
        <v>86</v>
      </c>
      <c r="D205" s="1015">
        <v>35</v>
      </c>
      <c r="E205" s="1015">
        <v>33</v>
      </c>
      <c r="F205" s="1015">
        <v>0</v>
      </c>
      <c r="G205" s="1015">
        <v>130</v>
      </c>
      <c r="H205" s="1015">
        <v>6</v>
      </c>
      <c r="I205" s="1015">
        <v>290</v>
      </c>
      <c r="L205" s="1011"/>
    </row>
    <row r="206" spans="2:13">
      <c r="B206" s="1012" t="s">
        <v>118</v>
      </c>
      <c r="C206" s="1013">
        <v>247</v>
      </c>
      <c r="D206" s="1013">
        <v>0</v>
      </c>
      <c r="E206" s="1013">
        <v>16</v>
      </c>
      <c r="F206" s="1013">
        <v>9</v>
      </c>
      <c r="G206" s="1013">
        <v>0</v>
      </c>
      <c r="H206" s="1013">
        <v>5</v>
      </c>
      <c r="I206" s="1013">
        <v>277</v>
      </c>
      <c r="L206" s="1011"/>
    </row>
    <row r="207" spans="2:13">
      <c r="B207" s="389" t="s">
        <v>878</v>
      </c>
    </row>
    <row r="209" spans="2:10" ht="15.75">
      <c r="B209" s="778" t="s">
        <v>383</v>
      </c>
      <c r="C209" s="328"/>
      <c r="D209" s="328"/>
      <c r="E209" s="328"/>
      <c r="F209" s="328"/>
      <c r="G209" s="328"/>
      <c r="H209" s="328"/>
      <c r="I209" s="328"/>
    </row>
    <row r="210" spans="2:10" ht="15.75">
      <c r="B210" s="778" t="s">
        <v>62</v>
      </c>
      <c r="C210" s="328"/>
      <c r="D210" s="328"/>
      <c r="E210" s="328"/>
      <c r="F210" s="328"/>
      <c r="G210" s="328"/>
      <c r="H210" s="328"/>
      <c r="I210" s="328"/>
    </row>
    <row r="211" spans="2:10" ht="26.25">
      <c r="B211" s="746" t="s">
        <v>64</v>
      </c>
      <c r="C211" s="747" t="s">
        <v>37</v>
      </c>
      <c r="D211" s="747" t="s">
        <v>38</v>
      </c>
      <c r="E211" s="747" t="s">
        <v>6</v>
      </c>
      <c r="F211" s="747" t="s">
        <v>1</v>
      </c>
      <c r="G211" s="747" t="s">
        <v>7</v>
      </c>
      <c r="H211" s="747" t="s">
        <v>65</v>
      </c>
      <c r="I211" s="748" t="s">
        <v>8</v>
      </c>
    </row>
    <row r="212" spans="2:10" ht="15" customHeight="1">
      <c r="B212" s="749" t="s">
        <v>149</v>
      </c>
      <c r="C212" s="797">
        <v>4784</v>
      </c>
      <c r="D212" s="797">
        <v>3355</v>
      </c>
      <c r="E212" s="797">
        <v>8142</v>
      </c>
      <c r="F212" s="1016">
        <v>0.34128348073940562</v>
      </c>
      <c r="G212" s="797">
        <v>5692</v>
      </c>
      <c r="H212" s="797">
        <v>2450</v>
      </c>
      <c r="I212" s="1199">
        <v>0.43042867182009836</v>
      </c>
    </row>
    <row r="213" spans="2:10" ht="15" customHeight="1">
      <c r="B213" s="1012" t="s">
        <v>150</v>
      </c>
      <c r="C213" s="1013">
        <v>2340</v>
      </c>
      <c r="D213" s="1013">
        <v>1875</v>
      </c>
      <c r="E213" s="1013">
        <v>4218</v>
      </c>
      <c r="F213" s="1017">
        <v>0.17680345391289767</v>
      </c>
      <c r="G213" s="1013">
        <v>3693</v>
      </c>
      <c r="H213" s="1013">
        <v>525</v>
      </c>
      <c r="I213" s="1200">
        <v>0.14216084484159219</v>
      </c>
    </row>
    <row r="214" spans="2:10" ht="15" customHeight="1">
      <c r="B214" s="1014" t="s">
        <v>151</v>
      </c>
      <c r="C214" s="1015">
        <v>1427</v>
      </c>
      <c r="D214" s="1015">
        <v>1250</v>
      </c>
      <c r="E214" s="1015">
        <v>2677</v>
      </c>
      <c r="F214" s="1018">
        <v>0.11221025275600453</v>
      </c>
      <c r="G214" s="1015">
        <v>2785</v>
      </c>
      <c r="H214" s="1015">
        <v>-108</v>
      </c>
      <c r="I214" s="1201">
        <v>-3.8779174147217238E-2</v>
      </c>
    </row>
    <row r="215" spans="2:10" ht="15" customHeight="1">
      <c r="B215" s="1012" t="s">
        <v>153</v>
      </c>
      <c r="C215" s="1013">
        <v>493</v>
      </c>
      <c r="D215" s="1013">
        <v>487</v>
      </c>
      <c r="E215" s="1013">
        <v>984</v>
      </c>
      <c r="F215" s="1017">
        <v>4.1245755962610556E-2</v>
      </c>
      <c r="G215" s="1013">
        <v>1003</v>
      </c>
      <c r="H215" s="1013">
        <v>-19</v>
      </c>
      <c r="I215" s="1200">
        <v>-1.8943170488534396E-2</v>
      </c>
    </row>
    <row r="216" spans="2:10" ht="15" customHeight="1">
      <c r="B216" s="1014" t="s">
        <v>152</v>
      </c>
      <c r="C216" s="1015">
        <v>102</v>
      </c>
      <c r="D216" s="1015">
        <v>104</v>
      </c>
      <c r="E216" s="1015">
        <v>205</v>
      </c>
      <c r="F216" s="1018">
        <v>8.5928658255438658E-3</v>
      </c>
      <c r="G216" s="1015">
        <v>315</v>
      </c>
      <c r="H216" s="1015">
        <v>-110</v>
      </c>
      <c r="I216" s="1201">
        <v>-0.34920634920634919</v>
      </c>
    </row>
    <row r="217" spans="2:10" ht="15" customHeight="1">
      <c r="B217" s="1012" t="s">
        <v>154</v>
      </c>
      <c r="C217" s="1013">
        <v>144</v>
      </c>
      <c r="D217" s="1013">
        <v>120</v>
      </c>
      <c r="E217" s="1013">
        <v>264</v>
      </c>
      <c r="F217" s="1017">
        <v>1.1065934526554052E-2</v>
      </c>
      <c r="G217" s="1013">
        <v>301</v>
      </c>
      <c r="H217" s="1013">
        <v>-37</v>
      </c>
      <c r="I217" s="1200">
        <v>-0.12292358803986711</v>
      </c>
    </row>
    <row r="218" spans="2:10" ht="15" customHeight="1">
      <c r="B218" s="1014" t="s">
        <v>156</v>
      </c>
      <c r="C218" s="1015">
        <v>199</v>
      </c>
      <c r="D218" s="1015">
        <v>224</v>
      </c>
      <c r="E218" s="1015">
        <v>424</v>
      </c>
      <c r="F218" s="1018">
        <v>1.7772561512344385E-2</v>
      </c>
      <c r="G218" s="1015">
        <v>346</v>
      </c>
      <c r="H218" s="1015">
        <v>78</v>
      </c>
      <c r="I218" s="1201">
        <v>0.22543352601156069</v>
      </c>
    </row>
    <row r="219" spans="2:10" ht="15" customHeight="1">
      <c r="B219" s="1012" t="s">
        <v>166</v>
      </c>
      <c r="C219" s="1013">
        <v>101</v>
      </c>
      <c r="D219" s="1013">
        <v>74</v>
      </c>
      <c r="E219" s="1013">
        <v>173</v>
      </c>
      <c r="F219" s="1017">
        <v>7.251540428385799E-3</v>
      </c>
      <c r="G219" s="1013">
        <v>149</v>
      </c>
      <c r="H219" s="1013">
        <v>24</v>
      </c>
      <c r="I219" s="1200">
        <v>0.16107382550335569</v>
      </c>
    </row>
    <row r="220" spans="2:10" ht="15" customHeight="1">
      <c r="B220" s="749" t="s">
        <v>158</v>
      </c>
      <c r="C220" s="1015">
        <v>23</v>
      </c>
      <c r="D220" s="1015">
        <v>15</v>
      </c>
      <c r="E220" s="1015">
        <v>39</v>
      </c>
      <c r="F220" s="1018">
        <v>1.6347403277863939E-3</v>
      </c>
      <c r="G220" s="1015">
        <v>24</v>
      </c>
      <c r="H220" s="1015">
        <v>15</v>
      </c>
      <c r="I220" s="1201">
        <v>0.625</v>
      </c>
    </row>
    <row r="221" spans="2:10" ht="15" customHeight="1">
      <c r="B221" s="1012" t="s">
        <v>164</v>
      </c>
      <c r="C221" s="1013">
        <v>11</v>
      </c>
      <c r="D221" s="1013">
        <v>5</v>
      </c>
      <c r="E221" s="1013">
        <v>18</v>
      </c>
      <c r="F221" s="1017">
        <v>7.5449553590141254E-4</v>
      </c>
      <c r="G221" s="1013">
        <v>31</v>
      </c>
      <c r="H221" s="1013">
        <v>-13</v>
      </c>
      <c r="I221" s="1200">
        <v>-0.41935483870967744</v>
      </c>
    </row>
    <row r="222" spans="2:10" ht="15" customHeight="1">
      <c r="B222" s="749" t="s">
        <v>155</v>
      </c>
      <c r="C222" s="797">
        <v>58</v>
      </c>
      <c r="D222" s="797">
        <v>63</v>
      </c>
      <c r="E222" s="797">
        <v>126</v>
      </c>
      <c r="F222" s="1018">
        <v>5.2814687513098877E-3</v>
      </c>
      <c r="G222" s="797">
        <v>53</v>
      </c>
      <c r="H222" s="797">
        <v>73</v>
      </c>
      <c r="I222" s="1201">
        <v>1.3773584905660377</v>
      </c>
    </row>
    <row r="223" spans="2:10" ht="15" customHeight="1">
      <c r="B223" s="1012" t="s">
        <v>162</v>
      </c>
      <c r="C223" s="1013">
        <v>35</v>
      </c>
      <c r="D223" s="1013">
        <v>25</v>
      </c>
      <c r="E223" s="1013">
        <v>55</v>
      </c>
      <c r="F223" s="1017">
        <v>2.3054030263654273E-3</v>
      </c>
      <c r="G223" s="1013">
        <v>38</v>
      </c>
      <c r="H223" s="1013">
        <v>17</v>
      </c>
      <c r="I223" s="1200">
        <v>0.44736842105263158</v>
      </c>
      <c r="J223" s="328"/>
    </row>
    <row r="224" spans="2:10" ht="15" customHeight="1">
      <c r="B224" s="1014" t="s">
        <v>157</v>
      </c>
      <c r="C224" s="1015">
        <v>207</v>
      </c>
      <c r="D224" s="1015">
        <v>185</v>
      </c>
      <c r="E224" s="1015">
        <v>395</v>
      </c>
      <c r="F224" s="1018">
        <v>1.6556985371169886E-2</v>
      </c>
      <c r="G224" s="1015">
        <v>478</v>
      </c>
      <c r="H224" s="1015">
        <v>-83</v>
      </c>
      <c r="I224" s="1201">
        <v>-0.17364016736401675</v>
      </c>
      <c r="J224" s="328"/>
    </row>
    <row r="225" spans="2:12" ht="15" customHeight="1">
      <c r="B225" s="1012" t="s">
        <v>161</v>
      </c>
      <c r="C225" s="1013">
        <v>36</v>
      </c>
      <c r="D225" s="1013">
        <v>34</v>
      </c>
      <c r="E225" s="1013">
        <v>65</v>
      </c>
      <c r="F225" s="1017">
        <v>2.7245672129773231E-3</v>
      </c>
      <c r="G225" s="1013">
        <v>39</v>
      </c>
      <c r="H225" s="1013">
        <v>26</v>
      </c>
      <c r="I225" s="1200">
        <v>0.66666666666666663</v>
      </c>
      <c r="J225" s="328"/>
    </row>
    <row r="226" spans="2:12" ht="15" customHeight="1">
      <c r="B226" s="1012" t="s">
        <v>163</v>
      </c>
      <c r="C226" s="1013">
        <v>12</v>
      </c>
      <c r="D226" s="1013">
        <v>14</v>
      </c>
      <c r="E226" s="1013">
        <v>27</v>
      </c>
      <c r="F226" s="1017">
        <v>1.131743303852119E-3</v>
      </c>
      <c r="G226" s="1013">
        <v>24</v>
      </c>
      <c r="H226" s="1013">
        <v>3</v>
      </c>
      <c r="I226" s="1200">
        <v>0.125</v>
      </c>
      <c r="J226" s="328"/>
    </row>
    <row r="227" spans="2:12" ht="15" customHeight="1">
      <c r="B227" s="1014" t="s">
        <v>159</v>
      </c>
      <c r="C227" s="1015">
        <v>15</v>
      </c>
      <c r="D227" s="1015">
        <v>16</v>
      </c>
      <c r="E227" s="1015">
        <v>33</v>
      </c>
      <c r="F227" s="1018">
        <v>1.3832418158192564E-3</v>
      </c>
      <c r="G227" s="1015">
        <v>17</v>
      </c>
      <c r="H227" s="1015">
        <v>16</v>
      </c>
      <c r="I227" s="1201">
        <v>0.94117647058823528</v>
      </c>
      <c r="J227" s="328"/>
    </row>
    <row r="228" spans="2:12" ht="15" customHeight="1">
      <c r="B228" s="1012" t="s">
        <v>168</v>
      </c>
      <c r="C228" s="1013">
        <v>37</v>
      </c>
      <c r="D228" s="1013">
        <v>37</v>
      </c>
      <c r="E228" s="1013">
        <v>74</v>
      </c>
      <c r="F228" s="1017">
        <v>3.1018149809280294E-3</v>
      </c>
      <c r="G228" s="1013">
        <v>67</v>
      </c>
      <c r="H228" s="1013">
        <v>7</v>
      </c>
      <c r="I228" s="1200">
        <v>0.1044776119402985</v>
      </c>
      <c r="J228" s="328"/>
    </row>
    <row r="229" spans="2:12" ht="15" customHeight="1">
      <c r="B229" s="749" t="s">
        <v>167</v>
      </c>
      <c r="C229" s="1015">
        <v>29</v>
      </c>
      <c r="D229" s="1015">
        <v>31</v>
      </c>
      <c r="E229" s="1015">
        <v>61</v>
      </c>
      <c r="F229" s="1018">
        <v>2.556901538332565E-3</v>
      </c>
      <c r="G229" s="1015">
        <v>67</v>
      </c>
      <c r="H229" s="1015">
        <v>-6</v>
      </c>
      <c r="I229" s="1201">
        <v>-8.9552238805970144E-2</v>
      </c>
      <c r="J229" s="328"/>
    </row>
    <row r="230" spans="2:12" ht="15" customHeight="1">
      <c r="B230" s="1012" t="s">
        <v>165</v>
      </c>
      <c r="C230" s="874">
        <v>43</v>
      </c>
      <c r="D230" s="874">
        <v>21</v>
      </c>
      <c r="E230" s="874">
        <v>64</v>
      </c>
      <c r="F230" s="1019">
        <v>2.6826507943161337E-3</v>
      </c>
      <c r="G230" s="1020" t="s">
        <v>94</v>
      </c>
      <c r="H230" s="876" t="s">
        <v>94</v>
      </c>
      <c r="I230" s="1021" t="s">
        <v>94</v>
      </c>
      <c r="J230" s="328"/>
    </row>
    <row r="231" spans="2:12" s="737" customFormat="1" ht="15" customHeight="1">
      <c r="B231" s="878" t="s">
        <v>433</v>
      </c>
      <c r="C231" s="879">
        <v>404</v>
      </c>
      <c r="D231" s="879">
        <v>331</v>
      </c>
      <c r="E231" s="879">
        <v>720</v>
      </c>
      <c r="F231" s="1022">
        <v>3.0179821436056502E-2</v>
      </c>
      <c r="G231" s="735" t="s">
        <v>94</v>
      </c>
      <c r="H231" s="735" t="s">
        <v>94</v>
      </c>
      <c r="I231" s="1023" t="s">
        <v>94</v>
      </c>
      <c r="J231" s="882"/>
    </row>
    <row r="232" spans="2:12" s="737" customFormat="1" ht="15" customHeight="1">
      <c r="B232" s="878" t="s">
        <v>58</v>
      </c>
      <c r="C232" s="883">
        <v>3669</v>
      </c>
      <c r="D232" s="883">
        <v>1423</v>
      </c>
      <c r="E232" s="883">
        <v>5093</v>
      </c>
      <c r="F232" s="1022">
        <v>0.21348032024143856</v>
      </c>
      <c r="G232" s="883">
        <v>3224</v>
      </c>
      <c r="H232" s="735">
        <v>1869</v>
      </c>
      <c r="I232" s="1024">
        <v>0.57971464019851116</v>
      </c>
      <c r="J232" s="882"/>
    </row>
    <row r="233" spans="2:12" ht="15" customHeight="1">
      <c r="B233" s="884" t="s">
        <v>28</v>
      </c>
      <c r="C233" s="885">
        <v>14169</v>
      </c>
      <c r="D233" s="885">
        <v>9689</v>
      </c>
      <c r="E233" s="885">
        <v>23857</v>
      </c>
      <c r="F233" s="1025">
        <v>1</v>
      </c>
      <c r="G233" s="887">
        <v>18994</v>
      </c>
      <c r="H233" s="888">
        <v>4863</v>
      </c>
      <c r="I233" s="889">
        <v>0.2560282194377172</v>
      </c>
      <c r="J233" s="328"/>
    </row>
    <row r="234" spans="2:12" ht="15.75">
      <c r="B234" s="328"/>
      <c r="C234" s="328"/>
      <c r="D234" s="328"/>
      <c r="E234" s="328"/>
      <c r="F234" s="328"/>
      <c r="H234" s="328"/>
      <c r="I234" s="328"/>
      <c r="J234" s="328"/>
    </row>
    <row r="235" spans="2:12" ht="15.75">
      <c r="B235" s="778" t="s">
        <v>63</v>
      </c>
      <c r="C235" s="328"/>
      <c r="D235" s="328"/>
      <c r="E235" s="328"/>
      <c r="F235" s="328"/>
      <c r="G235" s="328"/>
      <c r="H235" s="328"/>
      <c r="I235" s="328"/>
      <c r="J235" s="328"/>
    </row>
    <row r="236" spans="2:12" ht="15.75">
      <c r="B236" s="778" t="s">
        <v>827</v>
      </c>
      <c r="C236" s="328"/>
      <c r="D236" s="328"/>
      <c r="E236" s="328"/>
      <c r="F236" s="328"/>
      <c r="G236" s="328"/>
      <c r="H236" s="328"/>
      <c r="I236" s="328"/>
      <c r="J236" s="328"/>
    </row>
    <row r="237" spans="2:12" ht="15.75">
      <c r="B237" s="1026"/>
      <c r="C237" s="1264" t="s">
        <v>14</v>
      </c>
      <c r="D237" s="1264"/>
      <c r="E237" s="1265"/>
      <c r="F237" s="1266" t="s">
        <v>415</v>
      </c>
      <c r="G237" s="1264"/>
      <c r="H237" s="1264"/>
      <c r="I237" s="1264"/>
      <c r="J237" s="1264"/>
      <c r="K237" s="1267"/>
      <c r="L237" s="1027"/>
    </row>
    <row r="238" spans="2:12">
      <c r="B238" s="1028" t="s">
        <v>64</v>
      </c>
      <c r="C238" s="858" t="s">
        <v>29</v>
      </c>
      <c r="D238" s="858" t="s">
        <v>67</v>
      </c>
      <c r="E238" s="1029" t="s">
        <v>58</v>
      </c>
      <c r="F238" s="858" t="s">
        <v>23</v>
      </c>
      <c r="G238" s="858" t="s">
        <v>24</v>
      </c>
      <c r="H238" s="858" t="s">
        <v>25</v>
      </c>
      <c r="I238" s="858" t="s">
        <v>69</v>
      </c>
      <c r="J238" s="858" t="s">
        <v>27</v>
      </c>
      <c r="K238" s="1030" t="s">
        <v>28</v>
      </c>
    </row>
    <row r="239" spans="2:12">
      <c r="B239" s="749" t="s">
        <v>149</v>
      </c>
      <c r="C239" s="797">
        <v>6960</v>
      </c>
      <c r="D239" s="797">
        <v>963</v>
      </c>
      <c r="E239" s="797">
        <v>214</v>
      </c>
      <c r="F239" s="797">
        <v>1890</v>
      </c>
      <c r="G239" s="797">
        <v>1204</v>
      </c>
      <c r="H239" s="797">
        <v>2500</v>
      </c>
      <c r="I239" s="797">
        <v>2099</v>
      </c>
      <c r="J239" s="797">
        <v>448</v>
      </c>
      <c r="K239" s="1202">
        <v>8142</v>
      </c>
    </row>
    <row r="240" spans="2:12">
      <c r="B240" s="1012" t="s">
        <v>150</v>
      </c>
      <c r="C240" s="1013">
        <v>3404</v>
      </c>
      <c r="D240" s="1013">
        <v>707</v>
      </c>
      <c r="E240" s="1013">
        <v>108</v>
      </c>
      <c r="F240" s="1013">
        <v>768</v>
      </c>
      <c r="G240" s="1013">
        <v>523</v>
      </c>
      <c r="H240" s="1013">
        <v>1302</v>
      </c>
      <c r="I240" s="1013">
        <v>1252</v>
      </c>
      <c r="J240" s="1013">
        <v>365</v>
      </c>
      <c r="K240" s="1203">
        <v>4218</v>
      </c>
    </row>
    <row r="241" spans="2:11">
      <c r="B241" s="1014" t="s">
        <v>151</v>
      </c>
      <c r="C241" s="1015">
        <v>2229</v>
      </c>
      <c r="D241" s="1015">
        <v>385</v>
      </c>
      <c r="E241" s="1015">
        <v>69</v>
      </c>
      <c r="F241" s="1015">
        <v>345</v>
      </c>
      <c r="G241" s="1015">
        <v>286</v>
      </c>
      <c r="H241" s="1015">
        <v>673</v>
      </c>
      <c r="I241" s="1015">
        <v>1017</v>
      </c>
      <c r="J241" s="1015">
        <v>353</v>
      </c>
      <c r="K241" s="1204">
        <v>2677</v>
      </c>
    </row>
    <row r="242" spans="2:11">
      <c r="B242" s="1012" t="s">
        <v>153</v>
      </c>
      <c r="C242" s="1013">
        <v>873</v>
      </c>
      <c r="D242" s="1013">
        <v>71</v>
      </c>
      <c r="E242" s="1013">
        <v>39</v>
      </c>
      <c r="F242" s="1013">
        <v>172</v>
      </c>
      <c r="G242" s="1013">
        <v>127</v>
      </c>
      <c r="H242" s="1013">
        <v>220</v>
      </c>
      <c r="I242" s="1013">
        <v>359</v>
      </c>
      <c r="J242" s="1013">
        <v>108</v>
      </c>
      <c r="K242" s="1203">
        <v>984</v>
      </c>
    </row>
    <row r="243" spans="2:11">
      <c r="B243" s="1014" t="s">
        <v>152</v>
      </c>
      <c r="C243" s="1015">
        <v>163</v>
      </c>
      <c r="D243" s="1015">
        <v>34</v>
      </c>
      <c r="E243" s="1015">
        <v>3</v>
      </c>
      <c r="F243" s="1015">
        <v>45</v>
      </c>
      <c r="G243" s="1015">
        <v>13</v>
      </c>
      <c r="H243" s="1015">
        <v>47</v>
      </c>
      <c r="I243" s="1015">
        <v>69</v>
      </c>
      <c r="J243" s="1015">
        <v>26</v>
      </c>
      <c r="K243" s="1204">
        <v>205</v>
      </c>
    </row>
    <row r="244" spans="2:11">
      <c r="B244" s="1012" t="s">
        <v>154</v>
      </c>
      <c r="C244" s="1013">
        <v>212</v>
      </c>
      <c r="D244" s="1013">
        <v>46</v>
      </c>
      <c r="E244" s="1013">
        <v>3</v>
      </c>
      <c r="F244" s="1013">
        <v>32</v>
      </c>
      <c r="G244" s="1013">
        <v>49</v>
      </c>
      <c r="H244" s="1013">
        <v>61</v>
      </c>
      <c r="I244" s="1013">
        <v>87</v>
      </c>
      <c r="J244" s="1013">
        <v>34</v>
      </c>
      <c r="K244" s="1203">
        <v>264</v>
      </c>
    </row>
    <row r="245" spans="2:11">
      <c r="B245" s="1014" t="s">
        <v>156</v>
      </c>
      <c r="C245" s="1015">
        <v>168</v>
      </c>
      <c r="D245" s="1015">
        <v>230</v>
      </c>
      <c r="E245" s="1015">
        <v>27</v>
      </c>
      <c r="F245" s="1015">
        <v>59</v>
      </c>
      <c r="G245" s="1015">
        <v>41</v>
      </c>
      <c r="H245" s="1015">
        <v>126</v>
      </c>
      <c r="I245" s="1015">
        <v>156</v>
      </c>
      <c r="J245" s="1015">
        <v>40</v>
      </c>
      <c r="K245" s="1204">
        <v>424</v>
      </c>
    </row>
    <row r="246" spans="2:11">
      <c r="B246" s="1012" t="s">
        <v>166</v>
      </c>
      <c r="C246" s="1013">
        <v>128</v>
      </c>
      <c r="D246" s="1013">
        <v>49</v>
      </c>
      <c r="E246" s="1013">
        <v>0</v>
      </c>
      <c r="F246" s="1013">
        <v>43</v>
      </c>
      <c r="G246" s="1013">
        <v>23</v>
      </c>
      <c r="H246" s="1013">
        <v>59</v>
      </c>
      <c r="I246" s="1013">
        <v>39</v>
      </c>
      <c r="J246" s="1013">
        <v>13</v>
      </c>
      <c r="K246" s="1203">
        <v>173</v>
      </c>
    </row>
    <row r="247" spans="2:11">
      <c r="B247" s="749" t="s">
        <v>158</v>
      </c>
      <c r="C247" s="1015">
        <v>10</v>
      </c>
      <c r="D247" s="1015">
        <v>26</v>
      </c>
      <c r="E247" s="1015">
        <v>0</v>
      </c>
      <c r="F247" s="1015">
        <v>0</v>
      </c>
      <c r="G247" s="1015">
        <v>7</v>
      </c>
      <c r="H247" s="1015">
        <v>18</v>
      </c>
      <c r="I247" s="1015">
        <v>8</v>
      </c>
      <c r="J247" s="1015">
        <v>0</v>
      </c>
      <c r="K247" s="1204">
        <v>39</v>
      </c>
    </row>
    <row r="248" spans="2:11">
      <c r="B248" s="1012" t="s">
        <v>164</v>
      </c>
      <c r="C248" s="1013">
        <v>18</v>
      </c>
      <c r="D248" s="1013">
        <v>0</v>
      </c>
      <c r="E248" s="1013">
        <v>0</v>
      </c>
      <c r="F248" s="1013">
        <v>0</v>
      </c>
      <c r="G248" s="1013">
        <v>6</v>
      </c>
      <c r="H248" s="1013">
        <v>0</v>
      </c>
      <c r="I248" s="1013">
        <v>9</v>
      </c>
      <c r="J248" s="1013">
        <v>0</v>
      </c>
      <c r="K248" s="1203">
        <v>18</v>
      </c>
    </row>
    <row r="249" spans="2:11">
      <c r="B249" s="749" t="s">
        <v>155</v>
      </c>
      <c r="C249" s="797">
        <v>98</v>
      </c>
      <c r="D249" s="797">
        <v>19</v>
      </c>
      <c r="E249" s="797">
        <v>0</v>
      </c>
      <c r="F249" s="797">
        <v>20</v>
      </c>
      <c r="G249" s="797">
        <v>22</v>
      </c>
      <c r="H249" s="797">
        <v>30</v>
      </c>
      <c r="I249" s="797">
        <v>38</v>
      </c>
      <c r="J249" s="797">
        <v>9</v>
      </c>
      <c r="K249" s="1202">
        <v>126</v>
      </c>
    </row>
    <row r="250" spans="2:11">
      <c r="B250" s="1012" t="s">
        <v>162</v>
      </c>
      <c r="C250" s="1013">
        <v>23</v>
      </c>
      <c r="D250" s="1013">
        <v>32</v>
      </c>
      <c r="E250" s="1013">
        <v>0</v>
      </c>
      <c r="F250" s="1013">
        <v>3</v>
      </c>
      <c r="G250" s="1013">
        <v>9</v>
      </c>
      <c r="H250" s="1013">
        <v>18</v>
      </c>
      <c r="I250" s="1013">
        <v>23</v>
      </c>
      <c r="J250" s="1013">
        <v>10</v>
      </c>
      <c r="K250" s="1203">
        <v>55</v>
      </c>
    </row>
    <row r="251" spans="2:11">
      <c r="B251" s="1014" t="s">
        <v>157</v>
      </c>
      <c r="C251" s="1015">
        <v>291</v>
      </c>
      <c r="D251" s="1015">
        <v>89</v>
      </c>
      <c r="E251" s="1015">
        <v>15</v>
      </c>
      <c r="F251" s="1015">
        <v>26</v>
      </c>
      <c r="G251" s="1015">
        <v>23</v>
      </c>
      <c r="H251" s="1015">
        <v>82</v>
      </c>
      <c r="I251" s="1015">
        <v>180</v>
      </c>
      <c r="J251" s="1015">
        <v>84</v>
      </c>
      <c r="K251" s="1204">
        <v>395</v>
      </c>
    </row>
    <row r="252" spans="2:11">
      <c r="B252" s="1012" t="s">
        <v>161</v>
      </c>
      <c r="C252" s="1013">
        <v>19</v>
      </c>
      <c r="D252" s="1013">
        <v>42</v>
      </c>
      <c r="E252" s="1013">
        <v>0</v>
      </c>
      <c r="F252" s="1013">
        <v>9</v>
      </c>
      <c r="G252" s="1013">
        <v>8</v>
      </c>
      <c r="H252" s="1013">
        <v>30</v>
      </c>
      <c r="I252" s="1013">
        <v>18</v>
      </c>
      <c r="J252" s="1013">
        <v>4</v>
      </c>
      <c r="K252" s="1203">
        <v>65</v>
      </c>
    </row>
    <row r="253" spans="2:11">
      <c r="B253" s="1012" t="s">
        <v>163</v>
      </c>
      <c r="C253" s="1013">
        <v>13</v>
      </c>
      <c r="D253" s="1013">
        <v>7</v>
      </c>
      <c r="E253" s="1013">
        <v>0</v>
      </c>
      <c r="F253" s="1013">
        <v>0</v>
      </c>
      <c r="G253" s="1013">
        <v>0</v>
      </c>
      <c r="H253" s="1013">
        <v>8</v>
      </c>
      <c r="I253" s="1013">
        <v>14</v>
      </c>
      <c r="J253" s="1013">
        <v>7</v>
      </c>
      <c r="K253" s="1203">
        <v>27</v>
      </c>
    </row>
    <row r="254" spans="2:11">
      <c r="B254" s="1014" t="s">
        <v>159</v>
      </c>
      <c r="C254" s="1015">
        <v>21</v>
      </c>
      <c r="D254" s="1015">
        <v>8</v>
      </c>
      <c r="E254" s="1015">
        <v>0</v>
      </c>
      <c r="F254" s="1015">
        <v>8</v>
      </c>
      <c r="G254" s="1015">
        <v>5</v>
      </c>
      <c r="H254" s="1015">
        <v>7</v>
      </c>
      <c r="I254" s="1015">
        <v>14</v>
      </c>
      <c r="J254" s="1015">
        <v>0</v>
      </c>
      <c r="K254" s="1204">
        <v>33</v>
      </c>
    </row>
    <row r="255" spans="2:11">
      <c r="B255" s="1012" t="s">
        <v>168</v>
      </c>
      <c r="C255" s="1013">
        <v>59</v>
      </c>
      <c r="D255" s="1013">
        <v>12</v>
      </c>
      <c r="E255" s="1013">
        <v>4</v>
      </c>
      <c r="F255" s="1013">
        <v>21</v>
      </c>
      <c r="G255" s="1013">
        <v>0</v>
      </c>
      <c r="H255" s="1013">
        <v>30</v>
      </c>
      <c r="I255" s="1013">
        <v>15</v>
      </c>
      <c r="J255" s="1013">
        <v>3</v>
      </c>
      <c r="K255" s="1203">
        <v>74</v>
      </c>
    </row>
    <row r="256" spans="2:11">
      <c r="B256" s="749" t="s">
        <v>167</v>
      </c>
      <c r="C256" s="1015">
        <v>62</v>
      </c>
      <c r="D256" s="1015">
        <v>0</v>
      </c>
      <c r="E256" s="1015">
        <v>0</v>
      </c>
      <c r="F256" s="1015">
        <v>14</v>
      </c>
      <c r="G256" s="1015">
        <v>6</v>
      </c>
      <c r="H256" s="1015">
        <v>15</v>
      </c>
      <c r="I256" s="1015">
        <v>17</v>
      </c>
      <c r="J256" s="1015">
        <v>7</v>
      </c>
      <c r="K256" s="1204">
        <v>61</v>
      </c>
    </row>
    <row r="257" spans="2:11">
      <c r="B257" s="1012" t="s">
        <v>165</v>
      </c>
      <c r="C257" s="874">
        <v>48</v>
      </c>
      <c r="D257" s="874">
        <v>14</v>
      </c>
      <c r="E257" s="874">
        <v>0</v>
      </c>
      <c r="F257" s="874">
        <v>6</v>
      </c>
      <c r="G257" s="874">
        <v>3</v>
      </c>
      <c r="H257" s="874">
        <v>28</v>
      </c>
      <c r="I257" s="874">
        <v>24</v>
      </c>
      <c r="J257" s="874">
        <v>0</v>
      </c>
      <c r="K257" s="1205">
        <v>64</v>
      </c>
    </row>
    <row r="258" spans="2:11" ht="15" customHeight="1">
      <c r="B258" s="899" t="s">
        <v>71</v>
      </c>
      <c r="C258" s="883">
        <v>583</v>
      </c>
      <c r="D258" s="883">
        <v>124</v>
      </c>
      <c r="E258" s="883">
        <v>34</v>
      </c>
      <c r="F258" s="883">
        <v>161</v>
      </c>
      <c r="G258" s="883">
        <v>102</v>
      </c>
      <c r="H258" s="883">
        <v>232</v>
      </c>
      <c r="I258" s="883">
        <v>183</v>
      </c>
      <c r="J258" s="883">
        <v>53</v>
      </c>
      <c r="K258" s="1031">
        <v>720</v>
      </c>
    </row>
    <row r="259" spans="2:11" s="737" customFormat="1" ht="15" customHeight="1">
      <c r="B259" s="756" t="s">
        <v>58</v>
      </c>
      <c r="C259" s="1032">
        <v>1480</v>
      </c>
      <c r="D259" s="1032">
        <v>171</v>
      </c>
      <c r="E259" s="1032">
        <v>3450</v>
      </c>
      <c r="F259" s="1032">
        <v>602</v>
      </c>
      <c r="G259" s="1032">
        <v>557</v>
      </c>
      <c r="H259" s="1032">
        <v>2138</v>
      </c>
      <c r="I259" s="1032">
        <v>1500</v>
      </c>
      <c r="J259" s="1032">
        <v>301</v>
      </c>
      <c r="K259" s="1033">
        <v>5093</v>
      </c>
    </row>
    <row r="260" spans="2:11" ht="15" customHeight="1">
      <c r="B260" s="1034" t="s">
        <v>72</v>
      </c>
      <c r="C260" s="1035">
        <v>16862</v>
      </c>
      <c r="D260" s="1035">
        <v>3029</v>
      </c>
      <c r="E260" s="1035">
        <v>3966</v>
      </c>
      <c r="F260" s="1035">
        <v>4224</v>
      </c>
      <c r="G260" s="1035">
        <v>3014</v>
      </c>
      <c r="H260" s="1035">
        <v>7624</v>
      </c>
      <c r="I260" s="1035">
        <v>7121</v>
      </c>
      <c r="J260" s="1035">
        <v>1865</v>
      </c>
      <c r="K260" s="1036">
        <v>23857</v>
      </c>
    </row>
    <row r="262" spans="2:11" ht="15.75">
      <c r="B262" s="905"/>
      <c r="C262" s="328"/>
      <c r="D262" s="328"/>
      <c r="E262" s="328"/>
      <c r="F262" s="328"/>
      <c r="G262" s="328"/>
      <c r="H262" s="328"/>
      <c r="I262" s="328"/>
      <c r="J262" s="328"/>
      <c r="K262" s="328"/>
    </row>
    <row r="263" spans="2:11" ht="15.75">
      <c r="B263" s="906"/>
      <c r="C263" s="328"/>
      <c r="D263" s="328"/>
      <c r="E263" s="328"/>
      <c r="F263" s="328"/>
      <c r="G263" s="328"/>
      <c r="H263" s="328"/>
      <c r="I263" s="328"/>
      <c r="J263" s="328"/>
      <c r="K263" s="285" t="s">
        <v>642</v>
      </c>
    </row>
    <row r="264" spans="2:11" ht="15.75">
      <c r="B264" s="499" t="s">
        <v>857</v>
      </c>
      <c r="C264" s="500"/>
      <c r="D264" s="500"/>
      <c r="E264" s="500"/>
      <c r="F264" s="500"/>
      <c r="G264" s="500"/>
      <c r="H264" s="500"/>
      <c r="I264" s="500"/>
      <c r="J264" s="501"/>
    </row>
    <row r="265" spans="2:11" ht="15.75">
      <c r="B265" s="502" t="s">
        <v>424</v>
      </c>
      <c r="C265" s="503"/>
      <c r="D265" s="503"/>
      <c r="E265" s="503"/>
      <c r="F265" s="503"/>
      <c r="G265" s="503"/>
      <c r="H265" s="503"/>
      <c r="I265" s="503"/>
      <c r="J265" s="504"/>
    </row>
    <row r="266" spans="2:11" ht="15.75">
      <c r="B266" s="505" t="s">
        <v>824</v>
      </c>
      <c r="C266" s="506"/>
      <c r="D266" s="506"/>
      <c r="E266" s="506"/>
      <c r="F266" s="506"/>
      <c r="G266" s="506"/>
      <c r="H266" s="506"/>
      <c r="I266" s="506"/>
      <c r="J266" s="507"/>
    </row>
  </sheetData>
  <sheetProtection password="C6DE" sheet="1" objects="1" scenarios="1"/>
  <mergeCells count="35">
    <mergeCell ref="C195:F195"/>
    <mergeCell ref="G195:G196"/>
    <mergeCell ref="H195:H196"/>
    <mergeCell ref="I195:I196"/>
    <mergeCell ref="C237:E237"/>
    <mergeCell ref="F237:K237"/>
    <mergeCell ref="C193:G193"/>
    <mergeCell ref="J46:K46"/>
    <mergeCell ref="J47:K47"/>
    <mergeCell ref="J48:K48"/>
    <mergeCell ref="J49:K49"/>
    <mergeCell ref="J50:K50"/>
    <mergeCell ref="J51:K51"/>
    <mergeCell ref="J52:K52"/>
    <mergeCell ref="J53:K53"/>
    <mergeCell ref="J54:K54"/>
    <mergeCell ref="J55:K55"/>
    <mergeCell ref="J56:K56"/>
    <mergeCell ref="J45:K45"/>
    <mergeCell ref="J34:K34"/>
    <mergeCell ref="J35:K35"/>
    <mergeCell ref="J36:K36"/>
    <mergeCell ref="J37:K37"/>
    <mergeCell ref="J38:K38"/>
    <mergeCell ref="J39:K39"/>
    <mergeCell ref="J40:K40"/>
    <mergeCell ref="J41:K41"/>
    <mergeCell ref="J42:K42"/>
    <mergeCell ref="J43:K43"/>
    <mergeCell ref="J44:K44"/>
    <mergeCell ref="J33:K33"/>
    <mergeCell ref="J1:K1"/>
    <mergeCell ref="J30:K30"/>
    <mergeCell ref="J31:K31"/>
    <mergeCell ref="J32:K32"/>
  </mergeCells>
  <hyperlinks>
    <hyperlink ref="J1:K1" location="'Index '!A1" display="Back to Index"/>
    <hyperlink ref="K263" location="'3.10 Litchfield'!K1" display="Back to top"/>
  </hyperlinks>
  <pageMargins left="0.7" right="0.7" top="0.75" bottom="0.75" header="0.3" footer="0.3"/>
  <pageSetup paperSize="9" orientation="portrait" r:id="rId1"/>
  <drawing r:id="rId2"/>
  <legacyDrawing r:id="rId3"/>
  <tableParts count="7">
    <tablePart r:id="rId4"/>
    <tablePart r:id="rId5"/>
    <tablePart r:id="rId6"/>
    <tablePart r:id="rId7"/>
    <tablePart r:id="rId8"/>
    <tablePart r:id="rId9"/>
    <tablePart r:id="rId10"/>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0"/>
  <sheetViews>
    <sheetView showGridLines="0" zoomScaleNormal="100" zoomScaleSheetLayoutView="120" zoomScalePageLayoutView="75" workbookViewId="0">
      <selection activeCell="J1" sqref="J1:K1"/>
    </sheetView>
  </sheetViews>
  <sheetFormatPr defaultColWidth="15.625" defaultRowHeight="12.75"/>
  <cols>
    <col min="1" max="1" width="5.875" style="149" customWidth="1"/>
    <col min="2" max="2" width="41.5" style="149" customWidth="1"/>
    <col min="3" max="11" width="10.875" style="149" customWidth="1"/>
    <col min="12" max="14" width="15.625" style="149" customWidth="1"/>
    <col min="15" max="18" width="15.625" style="149"/>
    <col min="19" max="28" width="15.625" style="149" customWidth="1"/>
    <col min="29" max="16384" width="15.625" style="149"/>
  </cols>
  <sheetData>
    <row r="1" spans="1:11" ht="15.75">
      <c r="B1" s="122"/>
      <c r="C1" s="122"/>
      <c r="D1" s="122"/>
      <c r="E1" s="122"/>
      <c r="J1" s="1229" t="s">
        <v>359</v>
      </c>
      <c r="K1" s="1229"/>
    </row>
    <row r="2" spans="1:11" ht="30">
      <c r="A2" s="120"/>
      <c r="B2" s="333" t="s">
        <v>910</v>
      </c>
      <c r="C2" s="120"/>
      <c r="D2" s="120"/>
      <c r="E2" s="120"/>
      <c r="F2" s="120"/>
      <c r="G2" s="650"/>
      <c r="H2" s="650"/>
      <c r="I2" s="650"/>
      <c r="J2" s="650"/>
      <c r="K2" s="650"/>
    </row>
    <row r="3" spans="1:11">
      <c r="B3" s="122"/>
      <c r="C3" s="122"/>
      <c r="D3" s="122"/>
      <c r="E3" s="122"/>
      <c r="F3" s="122"/>
    </row>
    <row r="4" spans="1:11">
      <c r="B4" s="122"/>
      <c r="C4" s="122"/>
      <c r="D4" s="122"/>
      <c r="E4" s="122"/>
      <c r="F4" s="122"/>
    </row>
    <row r="5" spans="1:11">
      <c r="B5" s="123"/>
      <c r="C5" s="123"/>
      <c r="D5" s="123"/>
      <c r="E5" s="122"/>
      <c r="F5" s="122"/>
    </row>
    <row r="6" spans="1:11" ht="15.75">
      <c r="B6" s="124" t="s">
        <v>0</v>
      </c>
      <c r="C6" s="53" t="s">
        <v>1</v>
      </c>
      <c r="D6" s="123"/>
      <c r="E6" s="122"/>
      <c r="F6" s="122"/>
    </row>
    <row r="7" spans="1:11" ht="15.75">
      <c r="B7" s="126" t="s">
        <v>2</v>
      </c>
      <c r="C7" s="53">
        <f>D16</f>
        <v>0.90117725087050238</v>
      </c>
      <c r="D7" s="123"/>
      <c r="E7" s="122"/>
      <c r="F7" s="122"/>
    </row>
    <row r="8" spans="1:11" ht="15.75">
      <c r="B8" s="126" t="s">
        <v>3</v>
      </c>
      <c r="C8" s="53">
        <f>D18</f>
        <v>7.1132482175426962E-2</v>
      </c>
      <c r="D8" s="123"/>
      <c r="E8" s="122"/>
      <c r="F8" s="122"/>
    </row>
    <row r="9" spans="1:11" ht="15.75">
      <c r="B9" s="126" t="s">
        <v>4</v>
      </c>
      <c r="C9" s="53">
        <f>D19</f>
        <v>1.3928038467915769E-2</v>
      </c>
      <c r="D9" s="123"/>
      <c r="E9" s="122"/>
      <c r="F9" s="122"/>
    </row>
    <row r="10" spans="1:11" ht="15.75">
      <c r="B10" s="126"/>
      <c r="C10" s="53"/>
      <c r="D10" s="123"/>
      <c r="E10" s="122"/>
      <c r="F10" s="122"/>
    </row>
    <row r="11" spans="1:11" ht="15.75">
      <c r="B11" s="126" t="s">
        <v>5</v>
      </c>
      <c r="C11" s="53">
        <f>D20</f>
        <v>1.3762228486154866E-2</v>
      </c>
      <c r="D11" s="123"/>
      <c r="E11" s="122"/>
      <c r="F11" s="122"/>
    </row>
    <row r="12" spans="1:11" ht="23.25">
      <c r="B12" s="127" t="s">
        <v>722</v>
      </c>
    </row>
    <row r="14" spans="1:11" s="128" customFormat="1" ht="25.5">
      <c r="B14" s="252" t="s">
        <v>0</v>
      </c>
      <c r="C14" s="233" t="s">
        <v>6</v>
      </c>
      <c r="D14" s="233" t="s">
        <v>1</v>
      </c>
      <c r="E14" s="233" t="s">
        <v>7</v>
      </c>
      <c r="F14" s="233" t="s">
        <v>65</v>
      </c>
      <c r="G14" s="233" t="s">
        <v>8</v>
      </c>
    </row>
    <row r="15" spans="1:11" s="329" customFormat="1">
      <c r="B15" s="262" t="s">
        <v>9</v>
      </c>
      <c r="C15" s="55">
        <v>6031</v>
      </c>
      <c r="D15" s="54">
        <f t="shared" ref="D15:D25" si="0">(C15/$C$15)</f>
        <v>1</v>
      </c>
      <c r="E15" s="55">
        <v>5829</v>
      </c>
      <c r="F15" s="55">
        <f>(Table4791113157212579399105111[[#This Row],[Persons]]-Table4791113157212579399105111[[#This Row],[2011 Census]])</f>
        <v>202</v>
      </c>
      <c r="G15" s="54">
        <f>(Table4791113157212579399105111[[#This Row],[Change 2011-2016]]/Table4791113157212579399105111[[#This Row],[2011 Census]])</f>
        <v>3.4654314633727909E-2</v>
      </c>
    </row>
    <row r="16" spans="1:11" s="329" customFormat="1">
      <c r="B16" s="262" t="s">
        <v>2</v>
      </c>
      <c r="C16" s="55">
        <v>5435</v>
      </c>
      <c r="D16" s="54">
        <f t="shared" si="0"/>
        <v>0.90117725087050238</v>
      </c>
      <c r="E16" s="55">
        <v>5563</v>
      </c>
      <c r="F16" s="55">
        <f>(Table4791113157212579399105111[[#This Row],[Persons]]-Table4791113157212579399105111[[#This Row],[2011 Census]])</f>
        <v>-128</v>
      </c>
      <c r="G16" s="54">
        <f>(Table4791113157212579399105111[[#This Row],[Change 2011-2016]]/Table4791113157212579399105111[[#This Row],[2011 Census]])</f>
        <v>-2.3009167715261548E-2</v>
      </c>
    </row>
    <row r="17" spans="2:10" s="329" customFormat="1">
      <c r="B17" s="262" t="s">
        <v>362</v>
      </c>
      <c r="C17" s="55">
        <v>169</v>
      </c>
      <c r="D17" s="54">
        <f t="shared" si="0"/>
        <v>2.8021886917592439E-2</v>
      </c>
      <c r="E17" s="512">
        <v>89</v>
      </c>
      <c r="F17" s="55">
        <f>(Table4791113157212579399105111[[#This Row],[Persons]]-Table4791113157212579399105111[[#This Row],[2011 Census]])</f>
        <v>80</v>
      </c>
      <c r="G17" s="54">
        <f>(Table4791113157212579399105111[[#This Row],[Change 2011-2016]]/Table4791113157212579399105111[[#This Row],[2011 Census]])</f>
        <v>0.898876404494382</v>
      </c>
    </row>
    <row r="18" spans="2:10" s="329" customFormat="1">
      <c r="B18" s="262" t="s">
        <v>3</v>
      </c>
      <c r="C18" s="55">
        <v>429</v>
      </c>
      <c r="D18" s="54">
        <f t="shared" si="0"/>
        <v>7.1132482175426962E-2</v>
      </c>
      <c r="E18" s="512">
        <v>178</v>
      </c>
      <c r="F18" s="55">
        <f>(Table4791113157212579399105111[[#This Row],[Persons]]-Table4791113157212579399105111[[#This Row],[2011 Census]])</f>
        <v>251</v>
      </c>
      <c r="G18" s="54">
        <f>(Table4791113157212579399105111[[#This Row],[Change 2011-2016]]/Table4791113157212579399105111[[#This Row],[2011 Census]])</f>
        <v>1.4101123595505618</v>
      </c>
    </row>
    <row r="19" spans="2:10" s="329" customFormat="1">
      <c r="B19" s="262" t="s">
        <v>4</v>
      </c>
      <c r="C19" s="55">
        <v>84</v>
      </c>
      <c r="D19" s="54">
        <f t="shared" si="0"/>
        <v>1.3928038467915769E-2</v>
      </c>
      <c r="E19" s="512">
        <v>53</v>
      </c>
      <c r="F19" s="55">
        <f>(Table4791113157212579399105111[[#This Row],[Persons]]-Table4791113157212579399105111[[#This Row],[2011 Census]])</f>
        <v>31</v>
      </c>
      <c r="G19" s="54">
        <f>(Table4791113157212579399105111[[#This Row],[Change 2011-2016]]/Table4791113157212579399105111[[#This Row],[2011 Census]])</f>
        <v>0.58490566037735847</v>
      </c>
    </row>
    <row r="20" spans="2:10" s="329" customFormat="1">
      <c r="B20" s="262" t="s">
        <v>5</v>
      </c>
      <c r="C20" s="55">
        <v>83</v>
      </c>
      <c r="D20" s="54">
        <f t="shared" si="0"/>
        <v>1.3762228486154866E-2</v>
      </c>
      <c r="E20" s="512">
        <v>36</v>
      </c>
      <c r="F20" s="55">
        <f>(Table4791113157212579399105111[[#This Row],[Persons]]-Table4791113157212579399105111[[#This Row],[2011 Census]])</f>
        <v>47</v>
      </c>
      <c r="G20" s="54">
        <f>(Table4791113157212579399105111[[#This Row],[Change 2011-2016]]/Table4791113157212579399105111[[#This Row],[2011 Census]])</f>
        <v>1.3055555555555556</v>
      </c>
    </row>
    <row r="21" spans="2:10" s="329" customFormat="1">
      <c r="B21" s="262" t="s">
        <v>11</v>
      </c>
      <c r="C21" s="55">
        <v>59</v>
      </c>
      <c r="D21" s="54">
        <f t="shared" si="0"/>
        <v>9.7827889238932177E-3</v>
      </c>
      <c r="E21" s="512">
        <v>25</v>
      </c>
      <c r="F21" s="55">
        <f>(Table4791113157212579399105111[[#This Row],[Persons]]-Table4791113157212579399105111[[#This Row],[2011 Census]])</f>
        <v>34</v>
      </c>
      <c r="G21" s="54">
        <f>(Table4791113157212579399105111[[#This Row],[Change 2011-2016]]/Table4791113157212579399105111[[#This Row],[2011 Census]])</f>
        <v>1.36</v>
      </c>
    </row>
    <row r="22" spans="2:10" s="329" customFormat="1">
      <c r="B22" s="262" t="s">
        <v>12</v>
      </c>
      <c r="C22" s="55">
        <v>4955</v>
      </c>
      <c r="D22" s="54">
        <f t="shared" si="0"/>
        <v>0.8215884596252695</v>
      </c>
      <c r="E22" s="512">
        <v>4928</v>
      </c>
      <c r="F22" s="55">
        <f>(Table4791113157212579399105111[[#This Row],[Persons]]-Table4791113157212579399105111[[#This Row],[2011 Census]])</f>
        <v>27</v>
      </c>
      <c r="G22" s="54">
        <f>(Table4791113157212579399105111[[#This Row],[Change 2011-2016]]/Table4791113157212579399105111[[#This Row],[2011 Census]])</f>
        <v>5.478896103896104E-3</v>
      </c>
    </row>
    <row r="23" spans="2:10" s="329" customFormat="1">
      <c r="B23" s="262" t="s">
        <v>13</v>
      </c>
      <c r="C23" s="55">
        <v>3630</v>
      </c>
      <c r="D23" s="54">
        <f t="shared" si="0"/>
        <v>0.60189023379207429</v>
      </c>
      <c r="E23" s="512">
        <v>3916</v>
      </c>
      <c r="F23" s="55">
        <f>(Table4791113157212579399105111[[#This Row],[Persons]]-Table4791113157212579399105111[[#This Row],[2011 Census]])</f>
        <v>-286</v>
      </c>
      <c r="G23" s="54">
        <f>(Table4791113157212579399105111[[#This Row],[Change 2011-2016]]/Table4791113157212579399105111[[#This Row],[2011 Census]])</f>
        <v>-7.3033707865168537E-2</v>
      </c>
    </row>
    <row r="24" spans="2:10" s="329" customFormat="1">
      <c r="B24" s="262" t="s">
        <v>869</v>
      </c>
      <c r="C24" s="55">
        <v>57</v>
      </c>
      <c r="D24" s="54">
        <f t="shared" si="0"/>
        <v>9.4511689603714137E-3</v>
      </c>
      <c r="E24" s="512">
        <v>38</v>
      </c>
      <c r="F24" s="55">
        <f>(Table4791113157212579399105111[[#This Row],[Persons]]-Table4791113157212579399105111[[#This Row],[2011 Census]])</f>
        <v>19</v>
      </c>
      <c r="G24" s="54">
        <f>(Table4791113157212579399105111[[#This Row],[Change 2011-2016]]/Table4791113157212579399105111[[#This Row],[2011 Census]])</f>
        <v>0.5</v>
      </c>
    </row>
    <row r="25" spans="2:10" s="329" customFormat="1" ht="15.95" customHeight="1">
      <c r="B25" s="262" t="s">
        <v>870</v>
      </c>
      <c r="C25" s="55">
        <v>36</v>
      </c>
      <c r="D25" s="54">
        <f t="shared" si="0"/>
        <v>5.9691593433924724E-3</v>
      </c>
      <c r="E25" s="512">
        <v>16</v>
      </c>
      <c r="F25" s="55">
        <f>(Table4791113157212579399105111[[#This Row],[Persons]]-Table4791113157212579399105111[[#This Row],[2011 Census]])</f>
        <v>20</v>
      </c>
      <c r="G25" s="54">
        <f>(Table4791113157212579399105111[[#This Row],[Change 2011-2016]]/Table4791113157212579399105111[[#This Row],[2011 Census]])</f>
        <v>1.25</v>
      </c>
    </row>
    <row r="26" spans="2:10" s="329" customFormat="1">
      <c r="B26" s="349" t="s">
        <v>366</v>
      </c>
    </row>
    <row r="27" spans="2:10" s="329" customFormat="1">
      <c r="B27" s="349"/>
    </row>
    <row r="28" spans="2:10" s="329" customFormat="1" ht="23.25">
      <c r="B28" s="127" t="s">
        <v>723</v>
      </c>
      <c r="D28" s="513"/>
      <c r="E28" s="514"/>
      <c r="F28" s="514"/>
      <c r="G28" s="514"/>
    </row>
    <row r="29" spans="2:10" s="329" customFormat="1" ht="15.75">
      <c r="B29" s="133" t="s">
        <v>333</v>
      </c>
    </row>
    <row r="30" spans="2:10" s="128" customFormat="1" ht="25.5">
      <c r="B30" s="252" t="s">
        <v>14</v>
      </c>
      <c r="C30" s="252" t="s">
        <v>15</v>
      </c>
      <c r="D30" s="252" t="s">
        <v>16</v>
      </c>
      <c r="E30" s="252" t="s">
        <v>17</v>
      </c>
      <c r="F30" s="252" t="s">
        <v>18</v>
      </c>
      <c r="G30" s="252" t="s">
        <v>19</v>
      </c>
      <c r="H30" s="252" t="s">
        <v>20</v>
      </c>
      <c r="I30" s="1240"/>
      <c r="J30" s="1240"/>
    </row>
    <row r="31" spans="2:10" s="329" customFormat="1">
      <c r="B31" s="907" t="s">
        <v>73</v>
      </c>
      <c r="C31" s="287">
        <v>18</v>
      </c>
      <c r="D31" s="287">
        <v>12</v>
      </c>
      <c r="E31" s="287">
        <v>32</v>
      </c>
      <c r="F31" s="288">
        <f>IFERROR((Table55202469298104110[[#This Row],[Persons 2016]]/$C$17),"..")</f>
        <v>0.1893491124260355</v>
      </c>
      <c r="G31" s="908"/>
      <c r="H31" s="288" t="str">
        <f>IFERROR((Table55202469298104110[[#This Row],[Persons 2016]]-Table55202469298104110[[#This Row],[Persons 2011]])/Table55202469298104110[[#This Row],[Persons 2011]],"..")</f>
        <v>..</v>
      </c>
      <c r="I31" s="1250"/>
      <c r="J31" s="1250"/>
    </row>
    <row r="32" spans="2:10" s="329" customFormat="1">
      <c r="B32" s="655" t="s">
        <v>92</v>
      </c>
      <c r="C32" s="287">
        <v>17</v>
      </c>
      <c r="D32" s="287">
        <v>9</v>
      </c>
      <c r="E32" s="287">
        <v>26</v>
      </c>
      <c r="F32" s="288">
        <f>IFERROR((Table55202469298104110[[#This Row],[Persons 2016]]/$C$17),"..")</f>
        <v>0.15384615384615385</v>
      </c>
      <c r="G32" s="908"/>
      <c r="H32" s="288" t="str">
        <f>IFERROR((Table55202469298104110[[#This Row],[Persons 2016]]-Table55202469298104110[[#This Row],[Persons 2011]])/Table55202469298104110[[#This Row],[Persons 2011]],"..")</f>
        <v>..</v>
      </c>
      <c r="I32" s="1250"/>
      <c r="J32" s="1250"/>
    </row>
    <row r="33" spans="2:10" s="329" customFormat="1">
      <c r="B33" s="655" t="s">
        <v>78</v>
      </c>
      <c r="C33" s="287">
        <v>5</v>
      </c>
      <c r="D33" s="287">
        <v>4</v>
      </c>
      <c r="E33" s="287">
        <v>13</v>
      </c>
      <c r="F33" s="288">
        <f>IFERROR((Table55202469298104110[[#This Row],[Persons 2016]]/$C$17),"..")</f>
        <v>7.6923076923076927E-2</v>
      </c>
      <c r="G33" s="908"/>
      <c r="H33" s="288" t="str">
        <f>IFERROR((Table55202469298104110[[#This Row],[Persons 2016]]-Table55202469298104110[[#This Row],[Persons 2011]])/Table55202469298104110[[#This Row],[Persons 2011]],"..")</f>
        <v>..</v>
      </c>
      <c r="I33" s="1250"/>
      <c r="J33" s="1250"/>
    </row>
    <row r="34" spans="2:10" s="329" customFormat="1">
      <c r="B34" s="907" t="s">
        <v>93</v>
      </c>
      <c r="C34" s="287">
        <v>0</v>
      </c>
      <c r="D34" s="287">
        <v>5</v>
      </c>
      <c r="E34" s="287">
        <v>10</v>
      </c>
      <c r="F34" s="288">
        <f>IFERROR((Table55202469298104110[[#This Row],[Persons 2016]]/$C$17),"..")</f>
        <v>5.9171597633136092E-2</v>
      </c>
      <c r="G34" s="908"/>
      <c r="H34" s="288" t="str">
        <f>IFERROR((Table55202469298104110[[#This Row],[Persons 2016]]-Table55202469298104110[[#This Row],[Persons 2011]])/Table55202469298104110[[#This Row],[Persons 2011]],"..")</f>
        <v>..</v>
      </c>
      <c r="I34" s="1250"/>
      <c r="J34" s="1250"/>
    </row>
    <row r="35" spans="2:10" s="329" customFormat="1">
      <c r="B35" s="907" t="s">
        <v>129</v>
      </c>
      <c r="C35" s="287">
        <v>4</v>
      </c>
      <c r="D35" s="287">
        <v>0</v>
      </c>
      <c r="E35" s="287">
        <v>9</v>
      </c>
      <c r="F35" s="288">
        <f>IFERROR((Table55202469298104110[[#This Row],[Persons 2016]]/$C$17),"..")</f>
        <v>5.3254437869822487E-2</v>
      </c>
      <c r="G35" s="908"/>
      <c r="H35" s="288" t="str">
        <f>IFERROR((Table55202469298104110[[#This Row],[Persons 2016]]-Table55202469298104110[[#This Row],[Persons 2011]])/Table55202469298104110[[#This Row],[Persons 2011]],"..")</f>
        <v>..</v>
      </c>
      <c r="I35" s="1250"/>
      <c r="J35" s="1250"/>
    </row>
    <row r="36" spans="2:10" s="329" customFormat="1">
      <c r="B36" s="907" t="s">
        <v>79</v>
      </c>
      <c r="C36" s="287">
        <v>6</v>
      </c>
      <c r="D36" s="287">
        <v>6</v>
      </c>
      <c r="E36" s="287">
        <v>9</v>
      </c>
      <c r="F36" s="288">
        <f>IFERROR((Table55202469298104110[[#This Row],[Persons 2016]]/$C$17),"..")</f>
        <v>5.3254437869822487E-2</v>
      </c>
      <c r="G36" s="908"/>
      <c r="H36" s="288" t="str">
        <f>IFERROR((Table55202469298104110[[#This Row],[Persons 2016]]-Table55202469298104110[[#This Row],[Persons 2011]])/Table55202469298104110[[#This Row],[Persons 2011]],"..")</f>
        <v>..</v>
      </c>
      <c r="I36" s="1250"/>
      <c r="J36" s="1250"/>
    </row>
    <row r="37" spans="2:10" s="329" customFormat="1">
      <c r="B37" s="907" t="s">
        <v>89</v>
      </c>
      <c r="C37" s="287">
        <v>0</v>
      </c>
      <c r="D37" s="287">
        <v>3</v>
      </c>
      <c r="E37" s="287">
        <v>7</v>
      </c>
      <c r="F37" s="288">
        <f>IFERROR((Table55202469298104110[[#This Row],[Persons 2016]]/$C$17),"..")</f>
        <v>4.142011834319527E-2</v>
      </c>
      <c r="G37" s="908"/>
      <c r="H37" s="288" t="str">
        <f>IFERROR((Table55202469298104110[[#This Row],[Persons 2016]]-Table55202469298104110[[#This Row],[Persons 2011]])/Table55202469298104110[[#This Row],[Persons 2011]],"..")</f>
        <v>..</v>
      </c>
      <c r="I37" s="1250"/>
      <c r="J37" s="1250"/>
    </row>
    <row r="38" spans="2:10" s="329" customFormat="1">
      <c r="B38" s="907" t="s">
        <v>87</v>
      </c>
      <c r="C38" s="287">
        <v>0</v>
      </c>
      <c r="D38" s="287">
        <v>6</v>
      </c>
      <c r="E38" s="287">
        <v>6</v>
      </c>
      <c r="F38" s="288">
        <f>IFERROR((Table55202469298104110[[#This Row],[Persons 2016]]/$C$17),"..")</f>
        <v>3.5502958579881658E-2</v>
      </c>
      <c r="G38" s="908"/>
      <c r="H38" s="288" t="str">
        <f>IFERROR((Table55202469298104110[[#This Row],[Persons 2016]]-Table55202469298104110[[#This Row],[Persons 2011]])/Table55202469298104110[[#This Row],[Persons 2011]],"..")</f>
        <v>..</v>
      </c>
      <c r="I38" s="1250"/>
      <c r="J38" s="1250"/>
    </row>
    <row r="39" spans="2:10">
      <c r="B39" s="907" t="s">
        <v>137</v>
      </c>
      <c r="C39" s="287">
        <v>0</v>
      </c>
      <c r="D39" s="287">
        <v>0</v>
      </c>
      <c r="E39" s="287">
        <v>6</v>
      </c>
      <c r="F39" s="288">
        <f>IFERROR((Table55202469298104110[[#This Row],[Persons 2016]]/$C$17),"..")</f>
        <v>3.5502958579881658E-2</v>
      </c>
      <c r="G39" s="908"/>
      <c r="H39" s="288" t="str">
        <f>IFERROR((Table55202469298104110[[#This Row],[Persons 2016]]-Table55202469298104110[[#This Row],[Persons 2011]])/Table55202469298104110[[#This Row],[Persons 2011]],"..")</f>
        <v>..</v>
      </c>
      <c r="I39" s="1241"/>
      <c r="J39" s="1241"/>
    </row>
    <row r="40" spans="2:10">
      <c r="B40" s="907" t="s">
        <v>83</v>
      </c>
      <c r="C40" s="287">
        <v>0</v>
      </c>
      <c r="D40" s="287">
        <v>0</v>
      </c>
      <c r="E40" s="287">
        <v>5</v>
      </c>
      <c r="F40" s="288">
        <f>IFERROR((Table55202469298104110[[#This Row],[Persons 2016]]/$C$17),"..")</f>
        <v>2.9585798816568046E-2</v>
      </c>
      <c r="G40" s="908"/>
      <c r="H40" s="288" t="str">
        <f>IFERROR((Table55202469298104110[[#This Row],[Persons 2016]]-Table55202469298104110[[#This Row],[Persons 2011]])/Table55202469298104110[[#This Row],[Persons 2011]],"..")</f>
        <v>..</v>
      </c>
      <c r="I40" s="1241"/>
      <c r="J40" s="1241"/>
    </row>
    <row r="41" spans="2:10">
      <c r="B41" s="907" t="s">
        <v>369</v>
      </c>
      <c r="C41" s="287">
        <f>C42-SUM(C31:C40)</f>
        <v>36</v>
      </c>
      <c r="D41" s="287">
        <f t="shared" ref="D41:E41" si="1">D42-SUM(D31:D40)</f>
        <v>37</v>
      </c>
      <c r="E41" s="287">
        <f t="shared" si="1"/>
        <v>46</v>
      </c>
      <c r="F41" s="288">
        <f>IFERROR((Table55202469298104110[[#This Row],[Persons 2016]]/$C$17),"..")</f>
        <v>0.27218934911242604</v>
      </c>
      <c r="G41" s="908"/>
      <c r="H41" s="288" t="str">
        <f>IFERROR((Table55202469298104110[[#This Row],[Persons 2016]]-Table55202469298104110[[#This Row],[Persons 2011]])/Table55202469298104110[[#This Row],[Persons 2011]],"..")</f>
        <v>..</v>
      </c>
      <c r="I41" s="1037"/>
      <c r="J41" s="1037"/>
    </row>
    <row r="42" spans="2:10">
      <c r="B42" s="909" t="s">
        <v>21</v>
      </c>
      <c r="C42" s="910">
        <v>86</v>
      </c>
      <c r="D42" s="910">
        <v>82</v>
      </c>
      <c r="E42" s="290">
        <f>C17</f>
        <v>169</v>
      </c>
      <c r="F42" s="291">
        <f>IFERROR((Table55202469298104110[[#This Row],[Persons 2016]]/$C$17),"..")</f>
        <v>1</v>
      </c>
      <c r="G42" s="135">
        <f>E17</f>
        <v>89</v>
      </c>
      <c r="H42" s="136">
        <f>IFERROR((Table55202469298104110[[#This Row],[Persons 2016]]-Table55202469298104110[[#This Row],[Persons 2011]])/Table55202469298104110[[#This Row],[Persons 2011]],"..")</f>
        <v>0.898876404494382</v>
      </c>
      <c r="I42" s="1242"/>
      <c r="J42" s="1242"/>
    </row>
    <row r="43" spans="2:10" s="329" customFormat="1">
      <c r="B43" s="349" t="s">
        <v>366</v>
      </c>
    </row>
    <row r="45" spans="2:10" ht="23.25">
      <c r="B45" s="127" t="s">
        <v>724</v>
      </c>
    </row>
    <row r="46" spans="2:10" ht="15.75">
      <c r="B46" s="138" t="s">
        <v>832</v>
      </c>
    </row>
    <row r="47" spans="2:10">
      <c r="B47" s="149" t="s">
        <v>843</v>
      </c>
    </row>
    <row r="48" spans="2:10">
      <c r="B48" s="1038" t="s">
        <v>14</v>
      </c>
      <c r="C48" s="1039" t="s">
        <v>23</v>
      </c>
      <c r="D48" s="1039" t="s">
        <v>24</v>
      </c>
      <c r="E48" s="1039" t="s">
        <v>25</v>
      </c>
      <c r="F48" s="1039" t="s">
        <v>26</v>
      </c>
      <c r="G48" s="1039" t="s">
        <v>27</v>
      </c>
      <c r="H48" s="1040" t="s">
        <v>28</v>
      </c>
    </row>
    <row r="49" spans="2:8">
      <c r="B49" s="292" t="s">
        <v>73</v>
      </c>
      <c r="C49" s="155">
        <v>0</v>
      </c>
      <c r="D49" s="155">
        <v>3</v>
      </c>
      <c r="E49" s="155">
        <v>8</v>
      </c>
      <c r="F49" s="668">
        <v>14</v>
      </c>
      <c r="G49" s="155">
        <v>0</v>
      </c>
      <c r="H49" s="915">
        <v>32</v>
      </c>
    </row>
    <row r="50" spans="2:8">
      <c r="B50" s="912" t="s">
        <v>92</v>
      </c>
      <c r="C50" s="158">
        <v>0</v>
      </c>
      <c r="D50" s="158">
        <v>4</v>
      </c>
      <c r="E50" s="158">
        <v>6</v>
      </c>
      <c r="F50" s="671">
        <v>13</v>
      </c>
      <c r="G50" s="158">
        <v>5</v>
      </c>
      <c r="H50" s="913">
        <v>26</v>
      </c>
    </row>
    <row r="51" spans="2:8">
      <c r="B51" s="914" t="s">
        <v>78</v>
      </c>
      <c r="C51" s="155">
        <v>0</v>
      </c>
      <c r="D51" s="155">
        <v>0</v>
      </c>
      <c r="E51" s="155">
        <v>4</v>
      </c>
      <c r="F51" s="668">
        <v>10</v>
      </c>
      <c r="G51" s="155">
        <v>0</v>
      </c>
      <c r="H51" s="915">
        <v>13</v>
      </c>
    </row>
    <row r="52" spans="2:8">
      <c r="B52" s="294" t="s">
        <v>93</v>
      </c>
      <c r="C52" s="158">
        <v>0</v>
      </c>
      <c r="D52" s="158">
        <v>0</v>
      </c>
      <c r="E52" s="158">
        <v>6</v>
      </c>
      <c r="F52" s="671">
        <v>0</v>
      </c>
      <c r="G52" s="158">
        <v>0</v>
      </c>
      <c r="H52" s="913">
        <v>10</v>
      </c>
    </row>
    <row r="53" spans="2:8">
      <c r="B53" s="292" t="s">
        <v>129</v>
      </c>
      <c r="C53" s="155">
        <v>0</v>
      </c>
      <c r="D53" s="155">
        <v>3</v>
      </c>
      <c r="E53" s="155">
        <v>0</v>
      </c>
      <c r="F53" s="668">
        <v>4</v>
      </c>
      <c r="G53" s="155">
        <v>0</v>
      </c>
      <c r="H53" s="915">
        <v>9</v>
      </c>
    </row>
    <row r="54" spans="2:8">
      <c r="B54" s="912" t="s">
        <v>79</v>
      </c>
      <c r="C54" s="158">
        <v>0</v>
      </c>
      <c r="D54" s="158">
        <v>0</v>
      </c>
      <c r="E54" s="158">
        <v>5</v>
      </c>
      <c r="F54" s="671">
        <v>6</v>
      </c>
      <c r="G54" s="158">
        <v>0</v>
      </c>
      <c r="H54" s="913">
        <v>9</v>
      </c>
    </row>
    <row r="55" spans="2:8">
      <c r="B55" s="292" t="s">
        <v>89</v>
      </c>
      <c r="C55" s="155">
        <v>0</v>
      </c>
      <c r="D55" s="155">
        <v>0</v>
      </c>
      <c r="E55" s="155">
        <v>3</v>
      </c>
      <c r="F55" s="668">
        <v>0</v>
      </c>
      <c r="G55" s="155">
        <v>0</v>
      </c>
      <c r="H55" s="915">
        <v>7</v>
      </c>
    </row>
    <row r="56" spans="2:8">
      <c r="B56" s="912" t="s">
        <v>87</v>
      </c>
      <c r="C56" s="158">
        <v>0</v>
      </c>
      <c r="D56" s="158">
        <v>0</v>
      </c>
      <c r="E56" s="158">
        <v>4</v>
      </c>
      <c r="F56" s="671">
        <v>0</v>
      </c>
      <c r="G56" s="158">
        <v>0</v>
      </c>
      <c r="H56" s="913">
        <v>6</v>
      </c>
    </row>
    <row r="57" spans="2:8">
      <c r="B57" s="292" t="s">
        <v>137</v>
      </c>
      <c r="C57" s="155">
        <v>0</v>
      </c>
      <c r="D57" s="155">
        <v>0</v>
      </c>
      <c r="E57" s="155">
        <v>4</v>
      </c>
      <c r="F57" s="668">
        <v>0</v>
      </c>
      <c r="G57" s="155">
        <v>0</v>
      </c>
      <c r="H57" s="915">
        <v>6</v>
      </c>
    </row>
    <row r="58" spans="2:8">
      <c r="B58" s="294" t="s">
        <v>131</v>
      </c>
      <c r="C58" s="158">
        <v>0</v>
      </c>
      <c r="D58" s="158">
        <v>0</v>
      </c>
      <c r="E58" s="158">
        <v>0</v>
      </c>
      <c r="F58" s="671">
        <v>5</v>
      </c>
      <c r="G58" s="158">
        <v>0</v>
      </c>
      <c r="H58" s="913">
        <v>5</v>
      </c>
    </row>
    <row r="59" spans="2:8">
      <c r="B59" s="297" t="s">
        <v>29</v>
      </c>
      <c r="C59" s="141">
        <v>1165</v>
      </c>
      <c r="D59" s="141">
        <v>1220</v>
      </c>
      <c r="E59" s="141">
        <v>1774</v>
      </c>
      <c r="F59" s="141">
        <v>1018</v>
      </c>
      <c r="G59" s="141">
        <v>256</v>
      </c>
      <c r="H59" s="278">
        <v>5435</v>
      </c>
    </row>
    <row r="60" spans="2:8">
      <c r="B60" s="298" t="s">
        <v>30</v>
      </c>
      <c r="C60" s="142">
        <v>0</v>
      </c>
      <c r="D60" s="142">
        <v>9</v>
      </c>
      <c r="E60" s="142">
        <v>18</v>
      </c>
      <c r="F60" s="142">
        <v>42</v>
      </c>
      <c r="G60" s="679">
        <v>4</v>
      </c>
      <c r="H60" s="280">
        <v>84</v>
      </c>
    </row>
    <row r="61" spans="2:8">
      <c r="B61" s="299" t="s">
        <v>31</v>
      </c>
      <c r="C61" s="282">
        <v>0</v>
      </c>
      <c r="D61" s="282">
        <v>12</v>
      </c>
      <c r="E61" s="282">
        <v>45</v>
      </c>
      <c r="F61" s="282">
        <v>28</v>
      </c>
      <c r="G61" s="282">
        <v>3</v>
      </c>
      <c r="H61" s="283">
        <v>83</v>
      </c>
    </row>
    <row r="63" spans="2:8" ht="23.25">
      <c r="B63" s="127" t="s">
        <v>725</v>
      </c>
    </row>
    <row r="64" spans="2:8" ht="15.75">
      <c r="B64" s="138" t="s">
        <v>833</v>
      </c>
    </row>
    <row r="65" spans="2:8">
      <c r="B65" s="149" t="s">
        <v>843</v>
      </c>
    </row>
    <row r="66" spans="2:8">
      <c r="B66" s="266" t="s">
        <v>14</v>
      </c>
      <c r="C66" s="144" t="s">
        <v>23</v>
      </c>
      <c r="D66" s="144" t="s">
        <v>24</v>
      </c>
      <c r="E66" s="144" t="s">
        <v>25</v>
      </c>
      <c r="F66" s="144" t="s">
        <v>26</v>
      </c>
      <c r="G66" s="144" t="s">
        <v>27</v>
      </c>
      <c r="H66" s="421" t="s">
        <v>28</v>
      </c>
    </row>
    <row r="67" spans="2:8">
      <c r="B67" s="292" t="str">
        <f t="shared" ref="B67:B76" si="2">B49</f>
        <v>New Zealand</v>
      </c>
      <c r="C67" s="64">
        <f t="shared" ref="C67:C79" si="3">SUM(C49/H49)</f>
        <v>0</v>
      </c>
      <c r="D67" s="64">
        <f t="shared" ref="D67:D79" si="4">SUM(D49/H49)</f>
        <v>9.375E-2</v>
      </c>
      <c r="E67" s="64">
        <f t="shared" ref="E67:E79" si="5">SUM(E49/H49)</f>
        <v>0.25</v>
      </c>
      <c r="F67" s="64">
        <f t="shared" ref="F67:F79" si="6">SUM(F49/H49)</f>
        <v>0.4375</v>
      </c>
      <c r="G67" s="64">
        <f t="shared" ref="G67:G79" si="7">SUM(G49/H49)</f>
        <v>0</v>
      </c>
      <c r="H67" s="293">
        <f t="shared" ref="H67:H79" si="8">H49</f>
        <v>32</v>
      </c>
    </row>
    <row r="68" spans="2:8">
      <c r="B68" s="294" t="str">
        <f t="shared" si="2"/>
        <v>England</v>
      </c>
      <c r="C68" s="54">
        <f t="shared" si="3"/>
        <v>0</v>
      </c>
      <c r="D68" s="54">
        <f t="shared" si="4"/>
        <v>0.15384615384615385</v>
      </c>
      <c r="E68" s="54">
        <f t="shared" si="5"/>
        <v>0.23076923076923078</v>
      </c>
      <c r="F68" s="54">
        <f t="shared" si="6"/>
        <v>0.5</v>
      </c>
      <c r="G68" s="54">
        <f t="shared" si="7"/>
        <v>0.19230769230769232</v>
      </c>
      <c r="H68" s="295">
        <f t="shared" si="8"/>
        <v>26</v>
      </c>
    </row>
    <row r="69" spans="2:8">
      <c r="B69" s="292" t="str">
        <f t="shared" si="2"/>
        <v>South Africa</v>
      </c>
      <c r="C69" s="64">
        <f t="shared" si="3"/>
        <v>0</v>
      </c>
      <c r="D69" s="64">
        <f t="shared" si="4"/>
        <v>0</v>
      </c>
      <c r="E69" s="64">
        <f t="shared" si="5"/>
        <v>0.30769230769230771</v>
      </c>
      <c r="F69" s="64">
        <f t="shared" si="6"/>
        <v>0.76923076923076927</v>
      </c>
      <c r="G69" s="64">
        <f t="shared" si="7"/>
        <v>0</v>
      </c>
      <c r="H69" s="296">
        <f t="shared" si="8"/>
        <v>13</v>
      </c>
    </row>
    <row r="70" spans="2:8">
      <c r="B70" s="294" t="str">
        <f t="shared" si="2"/>
        <v>Taiwan</v>
      </c>
      <c r="C70" s="54">
        <f t="shared" si="3"/>
        <v>0</v>
      </c>
      <c r="D70" s="54">
        <f t="shared" si="4"/>
        <v>0</v>
      </c>
      <c r="E70" s="54">
        <f t="shared" si="5"/>
        <v>0.6</v>
      </c>
      <c r="F70" s="54">
        <f t="shared" si="6"/>
        <v>0</v>
      </c>
      <c r="G70" s="54">
        <f t="shared" si="7"/>
        <v>0</v>
      </c>
      <c r="H70" s="295">
        <f t="shared" si="8"/>
        <v>10</v>
      </c>
    </row>
    <row r="71" spans="2:8">
      <c r="B71" s="292" t="str">
        <f t="shared" si="2"/>
        <v>France</v>
      </c>
      <c r="C71" s="64">
        <f t="shared" si="3"/>
        <v>0</v>
      </c>
      <c r="D71" s="64">
        <f t="shared" si="4"/>
        <v>0.33333333333333331</v>
      </c>
      <c r="E71" s="64">
        <f t="shared" si="5"/>
        <v>0</v>
      </c>
      <c r="F71" s="64">
        <f t="shared" si="6"/>
        <v>0.44444444444444442</v>
      </c>
      <c r="G71" s="64">
        <f t="shared" si="7"/>
        <v>0</v>
      </c>
      <c r="H71" s="296">
        <f t="shared" si="8"/>
        <v>9</v>
      </c>
    </row>
    <row r="72" spans="2:8">
      <c r="B72" s="294" t="str">
        <f t="shared" si="2"/>
        <v>Germany</v>
      </c>
      <c r="C72" s="54">
        <f t="shared" si="3"/>
        <v>0</v>
      </c>
      <c r="D72" s="54">
        <f t="shared" si="4"/>
        <v>0</v>
      </c>
      <c r="E72" s="54">
        <f t="shared" si="5"/>
        <v>0.55555555555555558</v>
      </c>
      <c r="F72" s="54">
        <f t="shared" si="6"/>
        <v>0.66666666666666663</v>
      </c>
      <c r="G72" s="54">
        <f t="shared" si="7"/>
        <v>0</v>
      </c>
      <c r="H72" s="295">
        <f t="shared" si="8"/>
        <v>9</v>
      </c>
    </row>
    <row r="73" spans="2:8">
      <c r="B73" s="292" t="str">
        <f t="shared" si="2"/>
        <v>Japan</v>
      </c>
      <c r="C73" s="64">
        <f t="shared" si="3"/>
        <v>0</v>
      </c>
      <c r="D73" s="64">
        <f t="shared" si="4"/>
        <v>0</v>
      </c>
      <c r="E73" s="64">
        <f t="shared" si="5"/>
        <v>0.42857142857142855</v>
      </c>
      <c r="F73" s="64">
        <f t="shared" si="6"/>
        <v>0</v>
      </c>
      <c r="G73" s="64">
        <f t="shared" si="7"/>
        <v>0</v>
      </c>
      <c r="H73" s="296">
        <f t="shared" si="8"/>
        <v>7</v>
      </c>
    </row>
    <row r="74" spans="2:8">
      <c r="B74" s="294" t="str">
        <f t="shared" si="2"/>
        <v>Canada</v>
      </c>
      <c r="C74" s="54">
        <f t="shared" si="3"/>
        <v>0</v>
      </c>
      <c r="D74" s="54">
        <f t="shared" si="4"/>
        <v>0</v>
      </c>
      <c r="E74" s="54">
        <f t="shared" si="5"/>
        <v>0.66666666666666663</v>
      </c>
      <c r="F74" s="54">
        <f t="shared" si="6"/>
        <v>0</v>
      </c>
      <c r="G74" s="54">
        <f t="shared" si="7"/>
        <v>0</v>
      </c>
      <c r="H74" s="295">
        <f t="shared" si="8"/>
        <v>6</v>
      </c>
    </row>
    <row r="75" spans="2:8">
      <c r="B75" s="292" t="str">
        <f t="shared" si="2"/>
        <v>Argentina</v>
      </c>
      <c r="C75" s="64">
        <f t="shared" si="3"/>
        <v>0</v>
      </c>
      <c r="D75" s="64">
        <f t="shared" si="4"/>
        <v>0</v>
      </c>
      <c r="E75" s="64">
        <f t="shared" si="5"/>
        <v>0.66666666666666663</v>
      </c>
      <c r="F75" s="64">
        <f t="shared" si="6"/>
        <v>0</v>
      </c>
      <c r="G75" s="64">
        <f t="shared" si="7"/>
        <v>0</v>
      </c>
      <c r="H75" s="296">
        <f t="shared" si="8"/>
        <v>6</v>
      </c>
    </row>
    <row r="76" spans="2:8">
      <c r="B76" s="294" t="str">
        <f t="shared" si="2"/>
        <v>Scotland</v>
      </c>
      <c r="C76" s="54">
        <f t="shared" si="3"/>
        <v>0</v>
      </c>
      <c r="D76" s="54">
        <f t="shared" si="4"/>
        <v>0</v>
      </c>
      <c r="E76" s="54">
        <f t="shared" si="5"/>
        <v>0</v>
      </c>
      <c r="F76" s="54">
        <f t="shared" si="6"/>
        <v>1</v>
      </c>
      <c r="G76" s="54">
        <f t="shared" si="7"/>
        <v>0</v>
      </c>
      <c r="H76" s="295">
        <f t="shared" si="8"/>
        <v>5</v>
      </c>
    </row>
    <row r="77" spans="2:8">
      <c r="B77" s="297" t="s">
        <v>29</v>
      </c>
      <c r="C77" s="70">
        <f t="shared" si="3"/>
        <v>0.21435142594296228</v>
      </c>
      <c r="D77" s="70">
        <f t="shared" si="4"/>
        <v>0.22447102115915363</v>
      </c>
      <c r="E77" s="70">
        <f t="shared" si="5"/>
        <v>0.32640294388224472</v>
      </c>
      <c r="F77" s="70">
        <f t="shared" si="6"/>
        <v>0.18730450781968722</v>
      </c>
      <c r="G77" s="70">
        <f t="shared" si="7"/>
        <v>4.7102115915363382E-2</v>
      </c>
      <c r="H77" s="278">
        <f t="shared" si="8"/>
        <v>5435</v>
      </c>
    </row>
    <row r="78" spans="2:8">
      <c r="B78" s="298" t="s">
        <v>30</v>
      </c>
      <c r="C78" s="73">
        <f t="shared" si="3"/>
        <v>0</v>
      </c>
      <c r="D78" s="73">
        <f t="shared" si="4"/>
        <v>0.10714285714285714</v>
      </c>
      <c r="E78" s="73">
        <f t="shared" si="5"/>
        <v>0.21428571428571427</v>
      </c>
      <c r="F78" s="73">
        <f t="shared" si="6"/>
        <v>0.5</v>
      </c>
      <c r="G78" s="73">
        <f t="shared" si="7"/>
        <v>4.7619047619047616E-2</v>
      </c>
      <c r="H78" s="280">
        <f t="shared" si="8"/>
        <v>84</v>
      </c>
    </row>
    <row r="79" spans="2:8">
      <c r="B79" s="299" t="s">
        <v>31</v>
      </c>
      <c r="C79" s="300">
        <f t="shared" si="3"/>
        <v>0</v>
      </c>
      <c r="D79" s="300">
        <f t="shared" si="4"/>
        <v>0.14457831325301204</v>
      </c>
      <c r="E79" s="300">
        <f t="shared" si="5"/>
        <v>0.54216867469879515</v>
      </c>
      <c r="F79" s="300">
        <f t="shared" si="6"/>
        <v>0.33734939759036142</v>
      </c>
      <c r="G79" s="300">
        <f t="shared" si="7"/>
        <v>3.614457831325301E-2</v>
      </c>
      <c r="H79" s="283">
        <f t="shared" si="8"/>
        <v>83</v>
      </c>
    </row>
    <row r="81" spans="2:8" ht="23.25">
      <c r="B81" s="127" t="s">
        <v>726</v>
      </c>
    </row>
    <row r="82" spans="2:8" ht="15.75">
      <c r="B82" s="150" t="s">
        <v>844</v>
      </c>
    </row>
    <row r="83" spans="2:8">
      <c r="B83" s="149" t="s">
        <v>845</v>
      </c>
    </row>
    <row r="84" spans="2:8">
      <c r="B84" s="151" t="s">
        <v>14</v>
      </c>
      <c r="C84" s="152" t="s">
        <v>32</v>
      </c>
      <c r="D84" s="152" t="s">
        <v>33</v>
      </c>
      <c r="E84" s="152" t="s">
        <v>34</v>
      </c>
      <c r="F84" s="152" t="s">
        <v>35</v>
      </c>
      <c r="G84" s="152">
        <v>2016</v>
      </c>
      <c r="H84" s="153" t="s">
        <v>28</v>
      </c>
    </row>
    <row r="85" spans="2:8">
      <c r="B85" s="154" t="s">
        <v>73</v>
      </c>
      <c r="C85" s="155">
        <v>10</v>
      </c>
      <c r="D85" s="155">
        <v>3</v>
      </c>
      <c r="E85" s="155">
        <v>3</v>
      </c>
      <c r="F85" s="156">
        <v>10</v>
      </c>
      <c r="G85" s="155">
        <v>0</v>
      </c>
      <c r="H85" s="157">
        <v>32</v>
      </c>
    </row>
    <row r="86" spans="2:8">
      <c r="B86" s="66" t="s">
        <v>92</v>
      </c>
      <c r="C86" s="158">
        <v>10</v>
      </c>
      <c r="D86" s="158">
        <v>3</v>
      </c>
      <c r="E86" s="158">
        <v>0</v>
      </c>
      <c r="F86" s="159">
        <v>5</v>
      </c>
      <c r="G86" s="158">
        <v>0</v>
      </c>
      <c r="H86" s="160">
        <v>26</v>
      </c>
    </row>
    <row r="87" spans="2:8">
      <c r="B87" s="63" t="s">
        <v>78</v>
      </c>
      <c r="C87" s="155">
        <v>0</v>
      </c>
      <c r="D87" s="155">
        <v>3</v>
      </c>
      <c r="E87" s="155">
        <v>0</v>
      </c>
      <c r="F87" s="156">
        <v>5</v>
      </c>
      <c r="G87" s="155">
        <v>0</v>
      </c>
      <c r="H87" s="161">
        <v>13</v>
      </c>
    </row>
    <row r="88" spans="2:8">
      <c r="B88" s="162" t="s">
        <v>93</v>
      </c>
      <c r="C88" s="158">
        <v>0</v>
      </c>
      <c r="D88" s="158">
        <v>0</v>
      </c>
      <c r="E88" s="158">
        <v>0</v>
      </c>
      <c r="F88" s="159">
        <v>5</v>
      </c>
      <c r="G88" s="158">
        <v>0</v>
      </c>
      <c r="H88" s="160">
        <v>10</v>
      </c>
    </row>
    <row r="89" spans="2:8" ht="10.5" customHeight="1">
      <c r="B89" s="154" t="s">
        <v>129</v>
      </c>
      <c r="C89" s="155">
        <v>0</v>
      </c>
      <c r="D89" s="155">
        <v>0</v>
      </c>
      <c r="E89" s="155">
        <v>0</v>
      </c>
      <c r="F89" s="156">
        <v>0</v>
      </c>
      <c r="G89" s="155">
        <v>0</v>
      </c>
      <c r="H89" s="161">
        <v>9</v>
      </c>
    </row>
    <row r="90" spans="2:8">
      <c r="B90" s="66" t="s">
        <v>79</v>
      </c>
      <c r="C90" s="158">
        <v>0</v>
      </c>
      <c r="D90" s="158">
        <v>0</v>
      </c>
      <c r="E90" s="158">
        <v>0</v>
      </c>
      <c r="F90" s="159">
        <v>0</v>
      </c>
      <c r="G90" s="158">
        <v>0</v>
      </c>
      <c r="H90" s="160">
        <v>9</v>
      </c>
    </row>
    <row r="91" spans="2:8">
      <c r="B91" s="63" t="s">
        <v>89</v>
      </c>
      <c r="C91" s="155">
        <v>0</v>
      </c>
      <c r="D91" s="155">
        <v>0</v>
      </c>
      <c r="E91" s="155">
        <v>0</v>
      </c>
      <c r="F91" s="156">
        <v>3</v>
      </c>
      <c r="G91" s="155">
        <v>0</v>
      </c>
      <c r="H91" s="161">
        <v>7</v>
      </c>
    </row>
    <row r="92" spans="2:8">
      <c r="B92" s="162" t="s">
        <v>87</v>
      </c>
      <c r="C92" s="158">
        <v>0</v>
      </c>
      <c r="D92" s="158">
        <v>0</v>
      </c>
      <c r="E92" s="158">
        <v>0</v>
      </c>
      <c r="F92" s="159">
        <v>4</v>
      </c>
      <c r="G92" s="158">
        <v>0</v>
      </c>
      <c r="H92" s="160">
        <v>6</v>
      </c>
    </row>
    <row r="93" spans="2:8">
      <c r="B93" s="63" t="s">
        <v>137</v>
      </c>
      <c r="C93" s="155">
        <v>0</v>
      </c>
      <c r="D93" s="155">
        <v>0</v>
      </c>
      <c r="E93" s="155">
        <v>0</v>
      </c>
      <c r="F93" s="156">
        <v>6</v>
      </c>
      <c r="G93" s="155">
        <v>0</v>
      </c>
      <c r="H93" s="161">
        <v>6</v>
      </c>
    </row>
    <row r="94" spans="2:8">
      <c r="B94" s="162" t="s">
        <v>131</v>
      </c>
      <c r="C94" s="158">
        <v>5</v>
      </c>
      <c r="D94" s="158">
        <v>0</v>
      </c>
      <c r="E94" s="158">
        <v>0</v>
      </c>
      <c r="F94" s="159">
        <v>0</v>
      </c>
      <c r="G94" s="158">
        <v>0</v>
      </c>
      <c r="H94" s="160">
        <v>5</v>
      </c>
    </row>
    <row r="95" spans="2:8">
      <c r="B95" s="163" t="s">
        <v>30</v>
      </c>
      <c r="C95" s="163">
        <v>18</v>
      </c>
      <c r="D95" s="163">
        <v>13</v>
      </c>
      <c r="E95" s="163">
        <v>11</v>
      </c>
      <c r="F95" s="163">
        <v>33</v>
      </c>
      <c r="G95" s="164">
        <v>8</v>
      </c>
      <c r="H95" s="165">
        <f>C19</f>
        <v>84</v>
      </c>
    </row>
    <row r="96" spans="2:8">
      <c r="B96" s="166" t="s">
        <v>31</v>
      </c>
      <c r="C96" s="166">
        <v>9</v>
      </c>
      <c r="D96" s="166">
        <v>3</v>
      </c>
      <c r="E96" s="166">
        <v>9</v>
      </c>
      <c r="F96" s="166">
        <v>37</v>
      </c>
      <c r="G96" s="167">
        <v>3</v>
      </c>
      <c r="H96" s="168">
        <f>C20</f>
        <v>83</v>
      </c>
    </row>
    <row r="97" spans="2:20" ht="23.25">
      <c r="B97" s="127"/>
    </row>
    <row r="98" spans="2:20" ht="23.25">
      <c r="B98" s="127" t="s">
        <v>145</v>
      </c>
    </row>
    <row r="99" spans="2:20" ht="15.75">
      <c r="B99" s="150" t="s">
        <v>846</v>
      </c>
    </row>
    <row r="100" spans="2:20">
      <c r="B100" s="149" t="s">
        <v>845</v>
      </c>
      <c r="J100" s="169"/>
      <c r="K100" s="170"/>
      <c r="L100" s="170"/>
      <c r="M100" s="170"/>
      <c r="N100" s="170"/>
    </row>
    <row r="101" spans="2:20">
      <c r="B101" s="151" t="s">
        <v>14</v>
      </c>
      <c r="C101" s="152" t="s">
        <v>32</v>
      </c>
      <c r="D101" s="152" t="s">
        <v>33</v>
      </c>
      <c r="E101" s="152" t="s">
        <v>34</v>
      </c>
      <c r="F101" s="152" t="s">
        <v>35</v>
      </c>
      <c r="G101" s="152">
        <v>2016</v>
      </c>
      <c r="H101" s="153" t="s">
        <v>28</v>
      </c>
      <c r="J101" s="169"/>
      <c r="K101" s="170"/>
      <c r="L101" s="170"/>
      <c r="M101" s="170"/>
      <c r="N101" s="170"/>
    </row>
    <row r="102" spans="2:20">
      <c r="B102" s="63" t="str">
        <f t="shared" ref="B102:B111" si="9">B85</f>
        <v>New Zealand</v>
      </c>
      <c r="C102" s="64">
        <f t="shared" ref="C102:C113" si="10">IFERROR(C85/H85,"-")</f>
        <v>0.3125</v>
      </c>
      <c r="D102" s="64">
        <f t="shared" ref="D102:D113" si="11">IFERROR(D85/H85,"-")</f>
        <v>9.375E-2</v>
      </c>
      <c r="E102" s="64">
        <f t="shared" ref="E102:E113" si="12">IFERROR(E85/H85,"-")</f>
        <v>9.375E-2</v>
      </c>
      <c r="F102" s="64">
        <f t="shared" ref="F102:F113" si="13">IFERROR(F85/H85,"-")</f>
        <v>0.3125</v>
      </c>
      <c r="G102" s="64">
        <f t="shared" ref="G102:G113" si="14">IFERROR(G85/H85,"-")</f>
        <v>0</v>
      </c>
      <c r="H102" s="78">
        <f t="shared" ref="H102:H113" si="15">H85</f>
        <v>32</v>
      </c>
      <c r="J102" s="169"/>
      <c r="K102" s="170"/>
      <c r="L102" s="170"/>
      <c r="M102" s="170"/>
      <c r="N102" s="170"/>
    </row>
    <row r="103" spans="2:20">
      <c r="B103" s="66" t="str">
        <f t="shared" si="9"/>
        <v>England</v>
      </c>
      <c r="C103" s="54">
        <f t="shared" si="10"/>
        <v>0.38461538461538464</v>
      </c>
      <c r="D103" s="54">
        <f t="shared" si="11"/>
        <v>0.11538461538461539</v>
      </c>
      <c r="E103" s="54">
        <f t="shared" si="12"/>
        <v>0</v>
      </c>
      <c r="F103" s="54">
        <f t="shared" si="13"/>
        <v>0.19230769230769232</v>
      </c>
      <c r="G103" s="54">
        <f t="shared" si="14"/>
        <v>0</v>
      </c>
      <c r="H103" s="79">
        <f t="shared" si="15"/>
        <v>26</v>
      </c>
      <c r="J103" s="169"/>
      <c r="K103" s="170"/>
      <c r="L103" s="170"/>
      <c r="M103" s="170"/>
      <c r="N103" s="170"/>
    </row>
    <row r="104" spans="2:20">
      <c r="B104" s="63" t="str">
        <f t="shared" si="9"/>
        <v>South Africa</v>
      </c>
      <c r="C104" s="64">
        <f t="shared" si="10"/>
        <v>0</v>
      </c>
      <c r="D104" s="64">
        <f t="shared" si="11"/>
        <v>0.23076923076923078</v>
      </c>
      <c r="E104" s="64">
        <f t="shared" si="12"/>
        <v>0</v>
      </c>
      <c r="F104" s="64">
        <f t="shared" si="13"/>
        <v>0.38461538461538464</v>
      </c>
      <c r="G104" s="64">
        <f t="shared" si="14"/>
        <v>0</v>
      </c>
      <c r="H104" s="80">
        <f t="shared" si="15"/>
        <v>13</v>
      </c>
      <c r="J104" s="169"/>
      <c r="K104" s="170"/>
      <c r="L104" s="170"/>
      <c r="M104" s="170"/>
      <c r="N104" s="170"/>
    </row>
    <row r="105" spans="2:20">
      <c r="B105" s="66" t="str">
        <f t="shared" si="9"/>
        <v>Taiwan</v>
      </c>
      <c r="C105" s="54">
        <f t="shared" si="10"/>
        <v>0</v>
      </c>
      <c r="D105" s="54">
        <f t="shared" si="11"/>
        <v>0</v>
      </c>
      <c r="E105" s="54">
        <f t="shared" si="12"/>
        <v>0</v>
      </c>
      <c r="F105" s="54">
        <f t="shared" si="13"/>
        <v>0.5</v>
      </c>
      <c r="G105" s="54">
        <f t="shared" si="14"/>
        <v>0</v>
      </c>
      <c r="H105" s="79">
        <f t="shared" si="15"/>
        <v>10</v>
      </c>
      <c r="J105" s="169"/>
      <c r="K105" s="170"/>
      <c r="L105" s="170"/>
      <c r="M105" s="170"/>
      <c r="N105" s="170"/>
    </row>
    <row r="106" spans="2:20">
      <c r="B106" s="63" t="str">
        <f t="shared" si="9"/>
        <v>France</v>
      </c>
      <c r="C106" s="64">
        <f t="shared" si="10"/>
        <v>0</v>
      </c>
      <c r="D106" s="64">
        <f t="shared" si="11"/>
        <v>0</v>
      </c>
      <c r="E106" s="64">
        <f t="shared" si="12"/>
        <v>0</v>
      </c>
      <c r="F106" s="64">
        <f t="shared" si="13"/>
        <v>0</v>
      </c>
      <c r="G106" s="64">
        <f t="shared" si="14"/>
        <v>0</v>
      </c>
      <c r="H106" s="80">
        <f t="shared" si="15"/>
        <v>9</v>
      </c>
      <c r="J106" s="169"/>
      <c r="K106" s="170"/>
      <c r="L106" s="170"/>
      <c r="M106" s="170"/>
      <c r="N106" s="170"/>
    </row>
    <row r="107" spans="2:20">
      <c r="B107" s="66" t="str">
        <f t="shared" si="9"/>
        <v>Germany</v>
      </c>
      <c r="C107" s="54">
        <f t="shared" si="10"/>
        <v>0</v>
      </c>
      <c r="D107" s="54">
        <f t="shared" si="11"/>
        <v>0</v>
      </c>
      <c r="E107" s="54">
        <f t="shared" si="12"/>
        <v>0</v>
      </c>
      <c r="F107" s="54">
        <f t="shared" si="13"/>
        <v>0</v>
      </c>
      <c r="G107" s="54">
        <f t="shared" si="14"/>
        <v>0</v>
      </c>
      <c r="H107" s="79">
        <f t="shared" si="15"/>
        <v>9</v>
      </c>
      <c r="J107" s="169"/>
      <c r="K107" s="170"/>
      <c r="L107" s="170"/>
      <c r="M107" s="170"/>
      <c r="N107" s="170"/>
    </row>
    <row r="108" spans="2:20">
      <c r="B108" s="63" t="str">
        <f t="shared" si="9"/>
        <v>Japan</v>
      </c>
      <c r="C108" s="64">
        <f t="shared" si="10"/>
        <v>0</v>
      </c>
      <c r="D108" s="64">
        <f t="shared" si="11"/>
        <v>0</v>
      </c>
      <c r="E108" s="64">
        <f t="shared" si="12"/>
        <v>0</v>
      </c>
      <c r="F108" s="64">
        <f t="shared" si="13"/>
        <v>0.42857142857142855</v>
      </c>
      <c r="G108" s="64">
        <f t="shared" si="14"/>
        <v>0</v>
      </c>
      <c r="H108" s="80">
        <f t="shared" si="15"/>
        <v>7</v>
      </c>
      <c r="O108" s="170"/>
      <c r="P108" s="170"/>
      <c r="Q108" s="170"/>
      <c r="R108" s="170"/>
      <c r="S108" s="170"/>
      <c r="T108" s="170"/>
    </row>
    <row r="109" spans="2:20">
      <c r="B109" s="66" t="str">
        <f t="shared" si="9"/>
        <v>Canada</v>
      </c>
      <c r="C109" s="54">
        <f t="shared" si="10"/>
        <v>0</v>
      </c>
      <c r="D109" s="54">
        <f t="shared" si="11"/>
        <v>0</v>
      </c>
      <c r="E109" s="54">
        <f t="shared" si="12"/>
        <v>0</v>
      </c>
      <c r="F109" s="54">
        <f t="shared" si="13"/>
        <v>0.66666666666666663</v>
      </c>
      <c r="G109" s="54">
        <f t="shared" si="14"/>
        <v>0</v>
      </c>
      <c r="H109" s="79">
        <f t="shared" si="15"/>
        <v>6</v>
      </c>
    </row>
    <row r="110" spans="2:20">
      <c r="B110" s="63" t="str">
        <f t="shared" si="9"/>
        <v>Argentina</v>
      </c>
      <c r="C110" s="64">
        <f t="shared" si="10"/>
        <v>0</v>
      </c>
      <c r="D110" s="64">
        <f t="shared" si="11"/>
        <v>0</v>
      </c>
      <c r="E110" s="64">
        <f t="shared" si="12"/>
        <v>0</v>
      </c>
      <c r="F110" s="64">
        <f t="shared" si="13"/>
        <v>1</v>
      </c>
      <c r="G110" s="64">
        <f t="shared" si="14"/>
        <v>0</v>
      </c>
      <c r="H110" s="80">
        <f t="shared" si="15"/>
        <v>6</v>
      </c>
    </row>
    <row r="111" spans="2:20">
      <c r="B111" s="81" t="str">
        <f t="shared" si="9"/>
        <v>Scotland</v>
      </c>
      <c r="C111" s="82">
        <f t="shared" si="10"/>
        <v>1</v>
      </c>
      <c r="D111" s="82">
        <f t="shared" si="11"/>
        <v>0</v>
      </c>
      <c r="E111" s="82">
        <f t="shared" si="12"/>
        <v>0</v>
      </c>
      <c r="F111" s="82">
        <f t="shared" si="13"/>
        <v>0</v>
      </c>
      <c r="G111" s="82">
        <f t="shared" si="14"/>
        <v>0</v>
      </c>
      <c r="H111" s="83">
        <f t="shared" si="15"/>
        <v>5</v>
      </c>
    </row>
    <row r="112" spans="2:20">
      <c r="B112" s="72" t="s">
        <v>30</v>
      </c>
      <c r="C112" s="73">
        <f t="shared" si="10"/>
        <v>0.21428571428571427</v>
      </c>
      <c r="D112" s="73">
        <f t="shared" si="11"/>
        <v>0.15476190476190477</v>
      </c>
      <c r="E112" s="73">
        <f t="shared" si="12"/>
        <v>0.13095238095238096</v>
      </c>
      <c r="F112" s="73">
        <f t="shared" si="13"/>
        <v>0.39285714285714285</v>
      </c>
      <c r="G112" s="73">
        <f t="shared" si="14"/>
        <v>9.5238095238095233E-2</v>
      </c>
      <c r="H112" s="171">
        <f t="shared" si="15"/>
        <v>84</v>
      </c>
    </row>
    <row r="113" spans="2:8">
      <c r="B113" s="75" t="s">
        <v>31</v>
      </c>
      <c r="C113" s="76">
        <f t="shared" si="10"/>
        <v>0.10843373493975904</v>
      </c>
      <c r="D113" s="76">
        <f t="shared" si="11"/>
        <v>3.614457831325301E-2</v>
      </c>
      <c r="E113" s="76">
        <f t="shared" si="12"/>
        <v>0.10843373493975904</v>
      </c>
      <c r="F113" s="76">
        <f t="shared" si="13"/>
        <v>0.44578313253012047</v>
      </c>
      <c r="G113" s="76">
        <f t="shared" si="14"/>
        <v>3.614457831325301E-2</v>
      </c>
      <c r="H113" s="172">
        <f t="shared" si="15"/>
        <v>83</v>
      </c>
    </row>
    <row r="115" spans="2:8" ht="23.25">
      <c r="B115" s="127" t="s">
        <v>314</v>
      </c>
    </row>
    <row r="116" spans="2:8" ht="15.75">
      <c r="B116" s="150" t="s">
        <v>330</v>
      </c>
    </row>
    <row r="117" spans="2:8" ht="25.5">
      <c r="B117" s="173" t="s">
        <v>36</v>
      </c>
      <c r="C117" s="173" t="s">
        <v>37</v>
      </c>
      <c r="D117" s="173" t="s">
        <v>38</v>
      </c>
      <c r="E117" s="173" t="s">
        <v>6</v>
      </c>
      <c r="F117" s="173" t="s">
        <v>39</v>
      </c>
      <c r="G117" s="173" t="s">
        <v>7</v>
      </c>
      <c r="H117" s="173" t="s">
        <v>40</v>
      </c>
    </row>
    <row r="118" spans="2:8">
      <c r="B118" s="155" t="s">
        <v>95</v>
      </c>
      <c r="C118" s="103">
        <v>1655</v>
      </c>
      <c r="D118" s="103">
        <v>1894</v>
      </c>
      <c r="E118" s="103">
        <v>3550</v>
      </c>
      <c r="F118" s="224">
        <f>IFERROR(Table792226894100106112[[#This Row],[Persons]]/$C$23,"-")</f>
        <v>0.97796143250688705</v>
      </c>
      <c r="G118" s="103">
        <v>3850</v>
      </c>
      <c r="H118" s="64">
        <f t="shared" ref="H118:H128" si="16">IFERROR(((E118-G118)/G118),"..")</f>
        <v>-7.792207792207792E-2</v>
      </c>
    </row>
    <row r="119" spans="2:8">
      <c r="B119" s="158" t="s">
        <v>97</v>
      </c>
      <c r="C119" s="106">
        <v>0</v>
      </c>
      <c r="D119" s="106">
        <v>9</v>
      </c>
      <c r="E119" s="106">
        <v>11</v>
      </c>
      <c r="F119" s="226">
        <f>IFERROR(Table792226894100106112[[#This Row],[Persons]]/$C$23,"-")</f>
        <v>3.0303030303030303E-3</v>
      </c>
      <c r="G119" s="106" t="s">
        <v>94</v>
      </c>
      <c r="H119" s="54" t="str">
        <f t="shared" si="16"/>
        <v>..</v>
      </c>
    </row>
    <row r="120" spans="2:8">
      <c r="B120" s="155" t="s">
        <v>105</v>
      </c>
      <c r="C120" s="103">
        <v>4</v>
      </c>
      <c r="D120" s="103">
        <v>4</v>
      </c>
      <c r="E120" s="103">
        <v>7</v>
      </c>
      <c r="F120" s="224">
        <f>IFERROR(Table792226894100106112[[#This Row],[Persons]]/$C$23,"-")</f>
        <v>1.928374655647383E-3</v>
      </c>
      <c r="G120" s="103" t="s">
        <v>94</v>
      </c>
      <c r="H120" s="64" t="str">
        <f t="shared" si="16"/>
        <v>..</v>
      </c>
    </row>
    <row r="121" spans="2:8">
      <c r="B121" s="158" t="s">
        <v>108</v>
      </c>
      <c r="C121" s="106">
        <v>0</v>
      </c>
      <c r="D121" s="106">
        <v>3</v>
      </c>
      <c r="E121" s="106">
        <v>6</v>
      </c>
      <c r="F121" s="226">
        <f>IFERROR(Table792226894100106112[[#This Row],[Persons]]/$C$23,"-")</f>
        <v>1.652892561983471E-3</v>
      </c>
      <c r="G121" s="106" t="s">
        <v>94</v>
      </c>
      <c r="H121" s="54" t="str">
        <f t="shared" si="16"/>
        <v>..</v>
      </c>
    </row>
    <row r="122" spans="2:8">
      <c r="B122" s="155" t="s">
        <v>98</v>
      </c>
      <c r="C122" s="103">
        <v>4</v>
      </c>
      <c r="D122" s="103">
        <v>0</v>
      </c>
      <c r="E122" s="103">
        <v>5</v>
      </c>
      <c r="F122" s="224">
        <f>IFERROR(Table792226894100106112[[#This Row],[Persons]]/$C$23,"-")</f>
        <v>1.3774104683195593E-3</v>
      </c>
      <c r="G122" s="103" t="s">
        <v>94</v>
      </c>
      <c r="H122" s="64" t="str">
        <f t="shared" si="16"/>
        <v>..</v>
      </c>
    </row>
    <row r="123" spans="2:8">
      <c r="B123" s="158" t="s">
        <v>148</v>
      </c>
      <c r="C123" s="106">
        <v>3</v>
      </c>
      <c r="D123" s="106">
        <v>3</v>
      </c>
      <c r="E123" s="106">
        <v>5</v>
      </c>
      <c r="F123" s="226">
        <f>IFERROR(Table792226894100106112[[#This Row],[Persons]]/$C$23,"-")</f>
        <v>1.3774104683195593E-3</v>
      </c>
      <c r="G123" s="106" t="s">
        <v>94</v>
      </c>
      <c r="H123" s="54" t="str">
        <f t="shared" si="16"/>
        <v>..</v>
      </c>
    </row>
    <row r="124" spans="2:8">
      <c r="B124" s="155" t="s">
        <v>221</v>
      </c>
      <c r="C124" s="103">
        <v>0</v>
      </c>
      <c r="D124" s="103">
        <v>0</v>
      </c>
      <c r="E124" s="103">
        <v>5</v>
      </c>
      <c r="F124" s="224">
        <f>IFERROR(Table792226894100106112[[#This Row],[Persons]]/$C$23,"-")</f>
        <v>1.3774104683195593E-3</v>
      </c>
      <c r="G124" s="103" t="s">
        <v>94</v>
      </c>
      <c r="H124" s="64" t="str">
        <f t="shared" si="16"/>
        <v>..</v>
      </c>
    </row>
    <row r="125" spans="2:8">
      <c r="B125" s="158" t="s">
        <v>109</v>
      </c>
      <c r="C125" s="106">
        <v>0</v>
      </c>
      <c r="D125" s="106">
        <v>0</v>
      </c>
      <c r="E125" s="106">
        <v>5</v>
      </c>
      <c r="F125" s="226">
        <f>IFERROR(Table792226894100106112[[#This Row],[Persons]]/$C$23,"-")</f>
        <v>1.3774104683195593E-3</v>
      </c>
      <c r="G125" s="106" t="s">
        <v>94</v>
      </c>
      <c r="H125" s="54" t="str">
        <f t="shared" si="16"/>
        <v>..</v>
      </c>
    </row>
    <row r="126" spans="2:8">
      <c r="B126" s="155" t="s">
        <v>100</v>
      </c>
      <c r="C126" s="103">
        <v>4</v>
      </c>
      <c r="D126" s="103">
        <v>0</v>
      </c>
      <c r="E126" s="103">
        <v>4</v>
      </c>
      <c r="F126" s="224">
        <f>IFERROR(Table792226894100106112[[#This Row],[Persons]]/$C$23,"-")</f>
        <v>1.1019283746556473E-3</v>
      </c>
      <c r="G126" s="103" t="s">
        <v>94</v>
      </c>
      <c r="H126" s="64" t="str">
        <f t="shared" si="16"/>
        <v>..</v>
      </c>
    </row>
    <row r="127" spans="2:8">
      <c r="B127" s="158" t="s">
        <v>107</v>
      </c>
      <c r="C127" s="106">
        <v>0</v>
      </c>
      <c r="D127" s="106">
        <v>7</v>
      </c>
      <c r="E127" s="106">
        <v>4</v>
      </c>
      <c r="F127" s="226">
        <f>IFERROR(Table792226894100106112[[#This Row],[Persons]]/$C$23,"-")</f>
        <v>1.1019283746556473E-3</v>
      </c>
      <c r="G127" s="106" t="s">
        <v>94</v>
      </c>
      <c r="H127" s="54" t="str">
        <f t="shared" si="16"/>
        <v>..</v>
      </c>
    </row>
    <row r="128" spans="2:8">
      <c r="B128" s="158" t="s">
        <v>127</v>
      </c>
      <c r="C128" s="106">
        <f>Table792226894100106112[[#Totals],[Males]]-SUM(C118:C127)</f>
        <v>18</v>
      </c>
      <c r="D128" s="106">
        <f>Table792226894100106112[[#Totals],[Females]]-SUM(D118:D127)</f>
        <v>17</v>
      </c>
      <c r="E128" s="106">
        <f>Table792226894100106112[[#Totals],[Persons]]-SUM(E118:E127)</f>
        <v>28</v>
      </c>
      <c r="F128" s="226">
        <f>IFERROR(Table792226894100106112[[#This Row],[Persons]]/$C$23,"-")</f>
        <v>7.7134986225895321E-3</v>
      </c>
      <c r="G128" s="106">
        <f>Table792226894100106112[[#Totals],[2011 Census]]-SUM(G118:G127)</f>
        <v>66</v>
      </c>
      <c r="H128" s="54">
        <f t="shared" si="16"/>
        <v>-0.5757575757575758</v>
      </c>
    </row>
    <row r="129" spans="2:9">
      <c r="B129" s="284" t="s">
        <v>243</v>
      </c>
      <c r="C129" s="175" t="s">
        <v>222</v>
      </c>
      <c r="D129" s="175" t="s">
        <v>223</v>
      </c>
      <c r="E129" s="176" t="s">
        <v>224</v>
      </c>
      <c r="F129" s="177" t="s">
        <v>22</v>
      </c>
      <c r="G129" s="176">
        <f>E23</f>
        <v>3916</v>
      </c>
      <c r="H129" s="637">
        <f>(Table792226894100106112[[#Totals],[Persons]]-Table792226894100106112[[#Totals],[2011 Census]])/Table792226894100106112[[#Totals],[2011 Census]]</f>
        <v>-7.3033707865168537E-2</v>
      </c>
    </row>
    <row r="130" spans="2:9">
      <c r="B130" s="389" t="s">
        <v>873</v>
      </c>
      <c r="C130" s="180"/>
      <c r="D130" s="180"/>
      <c r="E130" s="180"/>
      <c r="F130" s="181"/>
      <c r="G130" s="180"/>
      <c r="H130" s="180"/>
      <c r="I130" s="182"/>
    </row>
    <row r="131" spans="2:9">
      <c r="B131" s="183"/>
      <c r="C131" s="183"/>
      <c r="D131" s="183"/>
      <c r="E131" s="183"/>
      <c r="F131" s="174"/>
      <c r="G131" s="553"/>
      <c r="H131" s="183"/>
      <c r="I131" s="183"/>
    </row>
    <row r="132" spans="2:9" ht="23.25">
      <c r="B132" s="127" t="s">
        <v>315</v>
      </c>
    </row>
    <row r="133" spans="2:9" ht="15.75">
      <c r="B133" s="150" t="s">
        <v>825</v>
      </c>
    </row>
    <row r="134" spans="2:9">
      <c r="B134" s="140" t="s">
        <v>36</v>
      </c>
      <c r="C134" s="145" t="s">
        <v>42</v>
      </c>
      <c r="D134" s="145" t="s">
        <v>43</v>
      </c>
      <c r="E134" s="145" t="s">
        <v>44</v>
      </c>
      <c r="F134" s="145" t="s">
        <v>45</v>
      </c>
      <c r="G134" s="145" t="s">
        <v>46</v>
      </c>
      <c r="H134" s="145" t="s">
        <v>28</v>
      </c>
    </row>
    <row r="135" spans="2:9">
      <c r="B135" s="185" t="s">
        <v>95</v>
      </c>
      <c r="C135" s="186"/>
      <c r="D135" s="186"/>
      <c r="E135" s="186"/>
      <c r="F135" s="186"/>
      <c r="G135" s="186"/>
      <c r="H135" s="187"/>
    </row>
    <row r="136" spans="2:9">
      <c r="B136" s="188" t="s">
        <v>48</v>
      </c>
      <c r="C136" s="209">
        <v>736</v>
      </c>
      <c r="D136" s="209">
        <v>577</v>
      </c>
      <c r="E136" s="209">
        <v>1004</v>
      </c>
      <c r="F136" s="209">
        <v>566</v>
      </c>
      <c r="G136" s="209">
        <v>130</v>
      </c>
      <c r="H136" s="210">
        <v>3013</v>
      </c>
    </row>
    <row r="137" spans="2:9">
      <c r="B137" s="191" t="s">
        <v>49</v>
      </c>
      <c r="C137" s="207">
        <v>224</v>
      </c>
      <c r="D137" s="207">
        <v>45</v>
      </c>
      <c r="E137" s="207">
        <v>68</v>
      </c>
      <c r="F137" s="207">
        <v>68</v>
      </c>
      <c r="G137" s="207">
        <v>52</v>
      </c>
      <c r="H137" s="208">
        <v>458</v>
      </c>
    </row>
    <row r="138" spans="2:9">
      <c r="B138" s="188" t="s">
        <v>50</v>
      </c>
      <c r="C138" s="209">
        <v>990</v>
      </c>
      <c r="D138" s="209">
        <v>632</v>
      </c>
      <c r="E138" s="209">
        <v>1103</v>
      </c>
      <c r="F138" s="209">
        <v>637</v>
      </c>
      <c r="G138" s="209">
        <v>189</v>
      </c>
      <c r="H138" s="210">
        <v>3550</v>
      </c>
    </row>
    <row r="139" spans="2:9">
      <c r="B139" s="194" t="s">
        <v>51</v>
      </c>
      <c r="C139" s="96">
        <f>IFERROR(C137/H138,"-")</f>
        <v>6.3098591549295771E-2</v>
      </c>
      <c r="D139" s="96">
        <f>IFERROR(D137/$H$137,"-")</f>
        <v>9.8253275109170299E-2</v>
      </c>
      <c r="E139" s="96">
        <f>IFERROR(E137/$H$137,"-")</f>
        <v>0.14847161572052403</v>
      </c>
      <c r="F139" s="96">
        <f>IFERROR(F137/$H$137,"-")</f>
        <v>0.14847161572052403</v>
      </c>
      <c r="G139" s="96">
        <f>IFERROR(G137/$H$137,"-")</f>
        <v>0.11353711790393013</v>
      </c>
      <c r="H139" s="97">
        <f>IFERROR(H137/$H$137,"-")</f>
        <v>1</v>
      </c>
    </row>
    <row r="140" spans="2:9">
      <c r="B140" s="195" t="s">
        <v>97</v>
      </c>
      <c r="C140" s="196"/>
      <c r="D140" s="196"/>
      <c r="E140" s="196"/>
      <c r="F140" s="196"/>
      <c r="G140" s="196"/>
      <c r="H140" s="197"/>
    </row>
    <row r="141" spans="2:9">
      <c r="B141" s="191" t="s">
        <v>48</v>
      </c>
      <c r="C141" s="241">
        <v>0</v>
      </c>
      <c r="D141" s="241">
        <v>0</v>
      </c>
      <c r="E141" s="241">
        <v>0</v>
      </c>
      <c r="F141" s="241">
        <v>0</v>
      </c>
      <c r="G141" s="241">
        <v>0</v>
      </c>
      <c r="H141" s="203">
        <v>4</v>
      </c>
    </row>
    <row r="142" spans="2:9">
      <c r="B142" s="188" t="s">
        <v>49</v>
      </c>
      <c r="C142" s="238"/>
      <c r="D142" s="238"/>
      <c r="E142" s="238"/>
      <c r="F142" s="238"/>
      <c r="G142" s="238"/>
      <c r="H142" s="554"/>
    </row>
    <row r="143" spans="2:9">
      <c r="B143" s="191" t="s">
        <v>50</v>
      </c>
      <c r="C143" s="241">
        <v>0</v>
      </c>
      <c r="D143" s="241">
        <v>0</v>
      </c>
      <c r="E143" s="241">
        <v>0</v>
      </c>
      <c r="F143" s="241">
        <v>0</v>
      </c>
      <c r="G143" s="241">
        <v>0</v>
      </c>
      <c r="H143" s="203">
        <v>11</v>
      </c>
    </row>
    <row r="144" spans="2:9">
      <c r="B144" s="202" t="s">
        <v>51</v>
      </c>
      <c r="C144" s="101">
        <f>IFERROR(C142/$H$143,"-")</f>
        <v>0</v>
      </c>
      <c r="D144" s="101">
        <f t="shared" ref="D144:H144" si="17">IFERROR(D142/$H$143,"-")</f>
        <v>0</v>
      </c>
      <c r="E144" s="101">
        <f t="shared" si="17"/>
        <v>0</v>
      </c>
      <c r="F144" s="101">
        <f t="shared" si="17"/>
        <v>0</v>
      </c>
      <c r="G144" s="101">
        <f t="shared" si="17"/>
        <v>0</v>
      </c>
      <c r="H144" s="99">
        <f t="shared" si="17"/>
        <v>0</v>
      </c>
    </row>
    <row r="145" spans="2:8">
      <c r="B145" s="185" t="s">
        <v>105</v>
      </c>
      <c r="C145" s="186"/>
      <c r="D145" s="186"/>
      <c r="E145" s="186"/>
      <c r="F145" s="186"/>
      <c r="G145" s="186"/>
      <c r="H145" s="203"/>
    </row>
    <row r="146" spans="2:8">
      <c r="B146" s="188" t="s">
        <v>48</v>
      </c>
      <c r="C146" s="238">
        <v>0</v>
      </c>
      <c r="D146" s="238">
        <v>0</v>
      </c>
      <c r="E146" s="238">
        <v>0</v>
      </c>
      <c r="F146" s="239">
        <v>0</v>
      </c>
      <c r="G146" s="434">
        <v>0</v>
      </c>
      <c r="H146" s="554">
        <v>3</v>
      </c>
    </row>
    <row r="147" spans="2:8">
      <c r="B147" s="191" t="s">
        <v>49</v>
      </c>
      <c r="C147" s="241">
        <v>0</v>
      </c>
      <c r="D147" s="241">
        <v>3</v>
      </c>
      <c r="E147" s="241">
        <v>0</v>
      </c>
      <c r="F147" s="242">
        <v>3</v>
      </c>
      <c r="G147" s="241">
        <v>0</v>
      </c>
      <c r="H147" s="203">
        <v>5</v>
      </c>
    </row>
    <row r="148" spans="2:8">
      <c r="B148" s="188" t="s">
        <v>50</v>
      </c>
      <c r="C148" s="238">
        <v>0</v>
      </c>
      <c r="D148" s="238">
        <v>3</v>
      </c>
      <c r="E148" s="238">
        <v>0</v>
      </c>
      <c r="F148" s="238">
        <v>4</v>
      </c>
      <c r="G148" s="435">
        <v>0</v>
      </c>
      <c r="H148" s="554">
        <v>7</v>
      </c>
    </row>
    <row r="149" spans="2:8">
      <c r="B149" s="194" t="s">
        <v>51</v>
      </c>
      <c r="C149" s="96">
        <f>IFERROR(C147/$H$148,"-")</f>
        <v>0</v>
      </c>
      <c r="D149" s="96">
        <f t="shared" ref="D149:H149" si="18">IFERROR(D147/$H$148,"-")</f>
        <v>0.42857142857142855</v>
      </c>
      <c r="E149" s="96">
        <f t="shared" si="18"/>
        <v>0</v>
      </c>
      <c r="F149" s="96">
        <f t="shared" si="18"/>
        <v>0.42857142857142855</v>
      </c>
      <c r="G149" s="96">
        <f t="shared" si="18"/>
        <v>0</v>
      </c>
      <c r="H149" s="97">
        <f t="shared" si="18"/>
        <v>0.7142857142857143</v>
      </c>
    </row>
    <row r="150" spans="2:8">
      <c r="B150" s="195"/>
      <c r="C150" s="196"/>
      <c r="D150" s="196"/>
      <c r="E150" s="196"/>
      <c r="F150" s="196"/>
      <c r="G150" s="196"/>
      <c r="H150" s="197"/>
    </row>
    <row r="151" spans="2:8">
      <c r="B151" s="191" t="s">
        <v>48</v>
      </c>
      <c r="C151" s="241"/>
      <c r="D151" s="241"/>
      <c r="E151" s="241"/>
      <c r="F151" s="241"/>
      <c r="G151" s="241"/>
      <c r="H151" s="203"/>
    </row>
    <row r="152" spans="2:8">
      <c r="B152" s="188" t="s">
        <v>49</v>
      </c>
      <c r="C152" s="238"/>
      <c r="D152" s="238"/>
      <c r="E152" s="238"/>
      <c r="F152" s="238"/>
      <c r="G152" s="238"/>
      <c r="H152" s="554"/>
    </row>
    <row r="153" spans="2:8">
      <c r="B153" s="191" t="s">
        <v>50</v>
      </c>
      <c r="C153" s="241"/>
      <c r="D153" s="241"/>
      <c r="E153" s="241"/>
      <c r="F153" s="241"/>
      <c r="G153" s="241"/>
      <c r="H153" s="203"/>
    </row>
    <row r="154" spans="2:8">
      <c r="B154" s="202" t="s">
        <v>51</v>
      </c>
      <c r="C154" s="98" t="str">
        <f>IFERROR(C152/$H$153,"..")</f>
        <v>..</v>
      </c>
      <c r="D154" s="98" t="str">
        <f t="shared" ref="D154:H154" si="19">IFERROR(D152/$H$153,"..")</f>
        <v>..</v>
      </c>
      <c r="E154" s="98" t="str">
        <f t="shared" si="19"/>
        <v>..</v>
      </c>
      <c r="F154" s="98" t="str">
        <f t="shared" si="19"/>
        <v>..</v>
      </c>
      <c r="G154" s="98" t="str">
        <f t="shared" si="19"/>
        <v>..</v>
      </c>
      <c r="H154" s="100" t="str">
        <f t="shared" si="19"/>
        <v>..</v>
      </c>
    </row>
    <row r="155" spans="2:8">
      <c r="B155" s="185"/>
      <c r="C155" s="186"/>
      <c r="D155" s="186"/>
      <c r="E155" s="186"/>
      <c r="F155" s="186"/>
      <c r="G155" s="186"/>
      <c r="H155" s="187"/>
    </row>
    <row r="156" spans="2:8">
      <c r="B156" s="188" t="s">
        <v>48</v>
      </c>
      <c r="C156" s="238"/>
      <c r="D156" s="238"/>
      <c r="E156" s="238"/>
      <c r="F156" s="238"/>
      <c r="G156" s="238"/>
      <c r="H156" s="554"/>
    </row>
    <row r="157" spans="2:8">
      <c r="B157" s="191" t="s">
        <v>49</v>
      </c>
      <c r="C157" s="241"/>
      <c r="D157" s="241"/>
      <c r="E157" s="241"/>
      <c r="F157" s="241"/>
      <c r="G157" s="241"/>
      <c r="H157" s="203"/>
    </row>
    <row r="158" spans="2:8">
      <c r="B158" s="188" t="s">
        <v>50</v>
      </c>
      <c r="C158" s="238"/>
      <c r="D158" s="238"/>
      <c r="E158" s="238"/>
      <c r="F158" s="238"/>
      <c r="G158" s="238"/>
      <c r="H158" s="554"/>
    </row>
    <row r="159" spans="2:8">
      <c r="B159" s="194" t="s">
        <v>51</v>
      </c>
      <c r="C159" s="96" t="str">
        <f>IFERROR(C157/$H$158,"..")</f>
        <v>..</v>
      </c>
      <c r="D159" s="96" t="str">
        <f t="shared" ref="D159:H159" si="20">IFERROR(D157/$H$158,"..")</f>
        <v>..</v>
      </c>
      <c r="E159" s="96" t="str">
        <f t="shared" si="20"/>
        <v>..</v>
      </c>
      <c r="F159" s="96" t="str">
        <f t="shared" si="20"/>
        <v>..</v>
      </c>
      <c r="G159" s="96" t="str">
        <f t="shared" si="20"/>
        <v>..</v>
      </c>
      <c r="H159" s="97" t="str">
        <f t="shared" si="20"/>
        <v>..</v>
      </c>
    </row>
    <row r="160" spans="2:8">
      <c r="B160" s="195" t="s">
        <v>114</v>
      </c>
      <c r="C160" s="196"/>
      <c r="D160" s="196"/>
      <c r="E160" s="196"/>
      <c r="F160" s="196"/>
      <c r="G160" s="196"/>
      <c r="H160" s="197"/>
    </row>
    <row r="161" spans="2:10">
      <c r="B161" s="191" t="s">
        <v>48</v>
      </c>
      <c r="C161" s="207">
        <v>736</v>
      </c>
      <c r="D161" s="207">
        <v>586</v>
      </c>
      <c r="E161" s="207">
        <v>1028</v>
      </c>
      <c r="F161" s="207">
        <v>579</v>
      </c>
      <c r="G161" s="207">
        <v>130</v>
      </c>
      <c r="H161" s="208">
        <v>3064</v>
      </c>
    </row>
    <row r="162" spans="2:10">
      <c r="B162" s="188" t="s">
        <v>49</v>
      </c>
      <c r="C162" s="209">
        <v>221</v>
      </c>
      <c r="D162" s="209">
        <v>48</v>
      </c>
      <c r="E162" s="209">
        <v>76</v>
      </c>
      <c r="F162" s="209">
        <v>72</v>
      </c>
      <c r="G162" s="209">
        <v>52</v>
      </c>
      <c r="H162" s="210">
        <v>471</v>
      </c>
    </row>
    <row r="163" spans="2:10">
      <c r="B163" s="191" t="s">
        <v>50</v>
      </c>
      <c r="C163" s="207">
        <v>999</v>
      </c>
      <c r="D163" s="207">
        <v>642</v>
      </c>
      <c r="E163" s="207">
        <v>1133</v>
      </c>
      <c r="F163" s="207">
        <v>656</v>
      </c>
      <c r="G163" s="207">
        <v>189</v>
      </c>
      <c r="H163" s="208">
        <v>3617</v>
      </c>
    </row>
    <row r="164" spans="2:10">
      <c r="B164" s="202" t="s">
        <v>51</v>
      </c>
      <c r="C164" s="101">
        <f>IFERROR(C162/$H$163,"-")</f>
        <v>6.1100359413878903E-2</v>
      </c>
      <c r="D164" s="101">
        <f t="shared" ref="D164:H164" si="21">IFERROR(D162/$H$163,"-")</f>
        <v>1.3270666298037047E-2</v>
      </c>
      <c r="E164" s="101">
        <f t="shared" si="21"/>
        <v>2.1011888305225324E-2</v>
      </c>
      <c r="F164" s="101">
        <f t="shared" si="21"/>
        <v>1.990599944705557E-2</v>
      </c>
      <c r="G164" s="101">
        <f t="shared" si="21"/>
        <v>1.4376555156206802E-2</v>
      </c>
      <c r="H164" s="99">
        <f t="shared" si="21"/>
        <v>0.13021841304948853</v>
      </c>
    </row>
    <row r="166" spans="2:10" ht="23.25">
      <c r="B166" s="127" t="s">
        <v>316</v>
      </c>
    </row>
    <row r="167" spans="2:10" ht="15.75">
      <c r="B167" s="150" t="s">
        <v>826</v>
      </c>
      <c r="J167" s="555"/>
    </row>
    <row r="168" spans="2:10">
      <c r="J168" s="329"/>
    </row>
    <row r="169" spans="2:10" ht="25.5">
      <c r="B169" s="684"/>
      <c r="C169" s="1234" t="s">
        <v>125</v>
      </c>
      <c r="D169" s="1234"/>
      <c r="E169" s="1234"/>
      <c r="F169" s="1238"/>
      <c r="G169" s="607" t="s">
        <v>10</v>
      </c>
      <c r="H169" s="212" t="s">
        <v>58</v>
      </c>
      <c r="I169" s="213" t="s">
        <v>70</v>
      </c>
    </row>
    <row r="170" spans="2:10" ht="63.75">
      <c r="B170" s="560" t="s">
        <v>879</v>
      </c>
      <c r="C170" s="214" t="s">
        <v>61</v>
      </c>
      <c r="D170" s="214" t="s">
        <v>60</v>
      </c>
      <c r="E170" s="214" t="s">
        <v>59</v>
      </c>
      <c r="F170" s="609" t="s">
        <v>848</v>
      </c>
      <c r="G170" s="214" t="s">
        <v>122</v>
      </c>
      <c r="H170" s="214" t="s">
        <v>639</v>
      </c>
      <c r="I170" s="215" t="s">
        <v>640</v>
      </c>
    </row>
    <row r="171" spans="2:10">
      <c r="B171" s="685" t="s">
        <v>118</v>
      </c>
      <c r="C171" s="686">
        <v>3473</v>
      </c>
      <c r="D171" s="686">
        <v>0</v>
      </c>
      <c r="E171" s="686">
        <v>14</v>
      </c>
      <c r="F171" s="686">
        <v>39</v>
      </c>
      <c r="G171" s="686">
        <v>0</v>
      </c>
      <c r="H171" s="686">
        <v>15</v>
      </c>
      <c r="I171" s="687">
        <v>3543</v>
      </c>
    </row>
    <row r="172" spans="2:10">
      <c r="B172" s="685" t="s">
        <v>116</v>
      </c>
      <c r="C172" s="686">
        <v>472</v>
      </c>
      <c r="D172" s="686">
        <v>0</v>
      </c>
      <c r="E172" s="686">
        <v>34</v>
      </c>
      <c r="F172" s="686">
        <v>10</v>
      </c>
      <c r="G172" s="686">
        <v>3</v>
      </c>
      <c r="H172" s="686">
        <v>21</v>
      </c>
      <c r="I172" s="687">
        <v>544</v>
      </c>
    </row>
    <row r="173" spans="2:10">
      <c r="B173" s="685" t="s">
        <v>115</v>
      </c>
      <c r="C173" s="686">
        <v>197</v>
      </c>
      <c r="D173" s="686">
        <v>11</v>
      </c>
      <c r="E173" s="686">
        <v>29</v>
      </c>
      <c r="F173" s="686">
        <v>7</v>
      </c>
      <c r="G173" s="686">
        <v>52</v>
      </c>
      <c r="H173" s="686">
        <v>6</v>
      </c>
      <c r="I173" s="687">
        <v>302</v>
      </c>
    </row>
    <row r="174" spans="2:10">
      <c r="B174" s="685" t="s">
        <v>117</v>
      </c>
      <c r="C174" s="686">
        <v>97</v>
      </c>
      <c r="D174" s="686">
        <v>3</v>
      </c>
      <c r="E174" s="686">
        <v>13</v>
      </c>
      <c r="F174" s="686">
        <v>0</v>
      </c>
      <c r="G174" s="686">
        <v>16</v>
      </c>
      <c r="H174" s="686">
        <v>6</v>
      </c>
      <c r="I174" s="687">
        <v>128</v>
      </c>
    </row>
    <row r="175" spans="2:10">
      <c r="B175" s="685" t="s">
        <v>119</v>
      </c>
      <c r="C175" s="686">
        <v>54</v>
      </c>
      <c r="D175" s="686">
        <v>3</v>
      </c>
      <c r="E175" s="686">
        <v>3</v>
      </c>
      <c r="F175" s="686">
        <v>0</v>
      </c>
      <c r="G175" s="686">
        <v>8</v>
      </c>
      <c r="H175" s="686">
        <v>0</v>
      </c>
      <c r="I175" s="687">
        <v>71</v>
      </c>
    </row>
    <row r="176" spans="2:10">
      <c r="B176" s="685" t="s">
        <v>97</v>
      </c>
      <c r="C176" s="686">
        <v>22</v>
      </c>
      <c r="D176" s="686">
        <v>3</v>
      </c>
      <c r="E176" s="686">
        <v>3</v>
      </c>
      <c r="F176" s="686">
        <v>0</v>
      </c>
      <c r="G176" s="686">
        <v>17</v>
      </c>
      <c r="H176" s="686">
        <v>0</v>
      </c>
      <c r="I176" s="687">
        <v>48</v>
      </c>
    </row>
    <row r="177" spans="2:9">
      <c r="B177" s="685" t="s">
        <v>98</v>
      </c>
      <c r="C177" s="686">
        <v>11</v>
      </c>
      <c r="D177" s="686">
        <v>0</v>
      </c>
      <c r="E177" s="686">
        <v>11</v>
      </c>
      <c r="F177" s="686">
        <v>0</v>
      </c>
      <c r="G177" s="686">
        <v>5</v>
      </c>
      <c r="H177" s="686">
        <v>0</v>
      </c>
      <c r="I177" s="687">
        <v>29</v>
      </c>
    </row>
    <row r="178" spans="2:9">
      <c r="B178" s="685" t="s">
        <v>244</v>
      </c>
      <c r="C178" s="686">
        <v>13</v>
      </c>
      <c r="D178" s="686">
        <v>0</v>
      </c>
      <c r="E178" s="686">
        <v>0</v>
      </c>
      <c r="F178" s="686">
        <v>0</v>
      </c>
      <c r="G178" s="686">
        <v>0</v>
      </c>
      <c r="H178" s="686">
        <v>0</v>
      </c>
      <c r="I178" s="687">
        <v>11</v>
      </c>
    </row>
    <row r="179" spans="2:9">
      <c r="B179" s="685" t="s">
        <v>111</v>
      </c>
      <c r="C179" s="686">
        <v>3</v>
      </c>
      <c r="D179" s="686">
        <v>7</v>
      </c>
      <c r="E179" s="686">
        <v>4</v>
      </c>
      <c r="F179" s="686">
        <v>0</v>
      </c>
      <c r="G179" s="686">
        <v>4</v>
      </c>
      <c r="H179" s="686">
        <v>0</v>
      </c>
      <c r="I179" s="687">
        <v>15</v>
      </c>
    </row>
    <row r="180" spans="2:9">
      <c r="B180" s="688" t="s">
        <v>249</v>
      </c>
      <c r="C180" s="689">
        <v>6</v>
      </c>
      <c r="D180" s="689">
        <v>0</v>
      </c>
      <c r="E180" s="689">
        <v>0</v>
      </c>
      <c r="F180" s="689">
        <v>0</v>
      </c>
      <c r="G180" s="689">
        <v>0</v>
      </c>
      <c r="H180" s="689">
        <v>0</v>
      </c>
      <c r="I180" s="690">
        <v>6</v>
      </c>
    </row>
    <row r="182" spans="2:9" ht="23.25">
      <c r="B182" s="127" t="s">
        <v>727</v>
      </c>
    </row>
    <row r="183" spans="2:9" ht="15.75">
      <c r="B183" s="150" t="s">
        <v>332</v>
      </c>
    </row>
    <row r="184" spans="2:9" ht="25.5">
      <c r="B184" s="173" t="s">
        <v>64</v>
      </c>
      <c r="C184" s="222" t="s">
        <v>37</v>
      </c>
      <c r="D184" s="222" t="s">
        <v>38</v>
      </c>
      <c r="E184" s="222" t="s">
        <v>6</v>
      </c>
      <c r="F184" s="222" t="s">
        <v>1</v>
      </c>
      <c r="G184" s="223" t="s">
        <v>7</v>
      </c>
      <c r="H184" s="222" t="s">
        <v>65</v>
      </c>
      <c r="I184" s="222" t="s">
        <v>8</v>
      </c>
    </row>
    <row r="185" spans="2:9">
      <c r="B185" s="155" t="s">
        <v>152</v>
      </c>
      <c r="C185" s="103">
        <v>1009</v>
      </c>
      <c r="D185" s="103">
        <v>1161</v>
      </c>
      <c r="E185" s="103">
        <v>2169</v>
      </c>
      <c r="F185" s="224">
        <f>SUM(Table79222681196102108114[[#This Row],[Persons]]/$C$15)</f>
        <v>0.35964185043939645</v>
      </c>
      <c r="G185" s="228">
        <v>2804</v>
      </c>
      <c r="H185" s="103">
        <f>Table79222681196102108114[[#This Row],[Persons]]-Table79222681196102108114[[#This Row],[2011 Census]]</f>
        <v>-635</v>
      </c>
      <c r="I185" s="64">
        <f>IFERROR((Table79222681196102108114[[#This Row],[Persons]]-Table79222681196102108114[[#This Row],[2011 Census]])/Table79222681196102108114[[#This Row],[2011 Census]],"..")</f>
        <v>-0.22646219686162625</v>
      </c>
    </row>
    <row r="186" spans="2:9">
      <c r="B186" s="158" t="s">
        <v>150</v>
      </c>
      <c r="C186" s="106">
        <v>439</v>
      </c>
      <c r="D186" s="106">
        <v>510</v>
      </c>
      <c r="E186" s="106">
        <v>949</v>
      </c>
      <c r="F186" s="226">
        <f>SUM(Table79222681196102108114[[#This Row],[Persons]]/$C$15)</f>
        <v>0.15735367269109601</v>
      </c>
      <c r="G186" s="227">
        <v>930</v>
      </c>
      <c r="H186" s="106">
        <f>Table79222681196102108114[[#This Row],[Persons]]-Table79222681196102108114[[#This Row],[2011 Census]]</f>
        <v>19</v>
      </c>
      <c r="I186" s="54">
        <f>IFERROR((Table79222681196102108114[[#This Row],[Persons]]-Table79222681196102108114[[#This Row],[2011 Census]])/Table79222681196102108114[[#This Row],[2011 Census]],"..")</f>
        <v>2.0430107526881722E-2</v>
      </c>
    </row>
    <row r="187" spans="2:9">
      <c r="B187" s="155" t="s">
        <v>149</v>
      </c>
      <c r="C187" s="103">
        <v>273</v>
      </c>
      <c r="D187" s="103">
        <v>254</v>
      </c>
      <c r="E187" s="103">
        <v>524</v>
      </c>
      <c r="F187" s="224">
        <f>SUM(Table79222681196102108114[[#This Row],[Persons]]/$C$15)</f>
        <v>8.6884430442712657E-2</v>
      </c>
      <c r="G187" s="228">
        <v>446</v>
      </c>
      <c r="H187" s="103">
        <f>Table79222681196102108114[[#This Row],[Persons]]-Table79222681196102108114[[#This Row],[2011 Census]]</f>
        <v>78</v>
      </c>
      <c r="I187" s="64">
        <f>IFERROR((Table79222681196102108114[[#This Row],[Persons]]-Table79222681196102108114[[#This Row],[2011 Census]])/Table79222681196102108114[[#This Row],[2011 Census]],"..")</f>
        <v>0.17488789237668162</v>
      </c>
    </row>
    <row r="188" spans="2:9">
      <c r="B188" s="158" t="s">
        <v>151</v>
      </c>
      <c r="C188" s="106">
        <v>42</v>
      </c>
      <c r="D188" s="106">
        <v>52</v>
      </c>
      <c r="E188" s="106">
        <v>96</v>
      </c>
      <c r="F188" s="226">
        <f>SUM(Table79222681196102108114[[#This Row],[Persons]]/$C$15)</f>
        <v>1.5917758249046593E-2</v>
      </c>
      <c r="G188" s="227">
        <v>117</v>
      </c>
      <c r="H188" s="106">
        <f>Table79222681196102108114[[#This Row],[Persons]]-Table79222681196102108114[[#This Row],[2011 Census]]</f>
        <v>-21</v>
      </c>
      <c r="I188" s="54">
        <f>IFERROR((Table79222681196102108114[[#This Row],[Persons]]-Table79222681196102108114[[#This Row],[2011 Census]])/Table79222681196102108114[[#This Row],[2011 Census]],"..")</f>
        <v>-0.17948717948717949</v>
      </c>
    </row>
    <row r="189" spans="2:9">
      <c r="B189" s="155" t="s">
        <v>153</v>
      </c>
      <c r="C189" s="103">
        <v>34</v>
      </c>
      <c r="D189" s="103">
        <v>43</v>
      </c>
      <c r="E189" s="103">
        <v>81</v>
      </c>
      <c r="F189" s="224">
        <f>SUM(Table79222681196102108114[[#This Row],[Persons]]/$C$15)</f>
        <v>1.3430608522633062E-2</v>
      </c>
      <c r="G189" s="228">
        <v>106</v>
      </c>
      <c r="H189" s="103">
        <f>Table79222681196102108114[[#This Row],[Persons]]-Table79222681196102108114[[#This Row],[2011 Census]]</f>
        <v>-25</v>
      </c>
      <c r="I189" s="64">
        <f>IFERROR((Table79222681196102108114[[#This Row],[Persons]]-Table79222681196102108114[[#This Row],[2011 Census]])/Table79222681196102108114[[#This Row],[2011 Census]],"..")</f>
        <v>-0.23584905660377359</v>
      </c>
    </row>
    <row r="190" spans="2:9">
      <c r="B190" s="158" t="s">
        <v>164</v>
      </c>
      <c r="C190" s="106">
        <v>33</v>
      </c>
      <c r="D190" s="106">
        <v>42</v>
      </c>
      <c r="E190" s="106">
        <v>75</v>
      </c>
      <c r="F190" s="226">
        <f>SUM(Table79222681196102108114[[#This Row],[Persons]]/$C$15)</f>
        <v>1.243574863206765E-2</v>
      </c>
      <c r="G190" s="227">
        <v>84</v>
      </c>
      <c r="H190" s="106">
        <f>Table79222681196102108114[[#This Row],[Persons]]-Table79222681196102108114[[#This Row],[2011 Census]]</f>
        <v>-9</v>
      </c>
      <c r="I190" s="54">
        <f>IFERROR((Table79222681196102108114[[#This Row],[Persons]]-Table79222681196102108114[[#This Row],[2011 Census]])/Table79222681196102108114[[#This Row],[2011 Census]],"..")</f>
        <v>-0.10714285714285714</v>
      </c>
    </row>
    <row r="191" spans="2:9">
      <c r="B191" s="155" t="s">
        <v>163</v>
      </c>
      <c r="C191" s="103">
        <v>20</v>
      </c>
      <c r="D191" s="103">
        <v>26</v>
      </c>
      <c r="E191" s="103">
        <v>45</v>
      </c>
      <c r="F191" s="224">
        <f>SUM(Table79222681196102108114[[#This Row],[Persons]]/$C$15)</f>
        <v>7.4614491792405905E-3</v>
      </c>
      <c r="G191" s="228">
        <v>21</v>
      </c>
      <c r="H191" s="103">
        <f>Table79222681196102108114[[#This Row],[Persons]]-Table79222681196102108114[[#This Row],[2011 Census]]</f>
        <v>24</v>
      </c>
      <c r="I191" s="64">
        <f>IFERROR((Table79222681196102108114[[#This Row],[Persons]]-Table79222681196102108114[[#This Row],[2011 Census]])/Table79222681196102108114[[#This Row],[2011 Census]],"..")</f>
        <v>1.1428571428571428</v>
      </c>
    </row>
    <row r="192" spans="2:9">
      <c r="B192" s="158" t="s">
        <v>154</v>
      </c>
      <c r="C192" s="106">
        <v>21</v>
      </c>
      <c r="D192" s="106">
        <v>15</v>
      </c>
      <c r="E192" s="106">
        <v>31</v>
      </c>
      <c r="F192" s="226">
        <f>SUM(Table79222681196102108114[[#This Row],[Persons]]/$C$15)</f>
        <v>5.1401094345879623E-3</v>
      </c>
      <c r="G192" s="227">
        <v>34</v>
      </c>
      <c r="H192" s="106">
        <f>Table79222681196102108114[[#This Row],[Persons]]-Table79222681196102108114[[#This Row],[2011 Census]]</f>
        <v>-3</v>
      </c>
      <c r="I192" s="54">
        <f>IFERROR((Table79222681196102108114[[#This Row],[Persons]]-Table79222681196102108114[[#This Row],[2011 Census]])/Table79222681196102108114[[#This Row],[2011 Census]],"..")</f>
        <v>-8.8235294117647065E-2</v>
      </c>
    </row>
    <row r="193" spans="2:9">
      <c r="B193" s="155" t="s">
        <v>155</v>
      </c>
      <c r="C193" s="103">
        <v>3</v>
      </c>
      <c r="D193" s="103">
        <v>6</v>
      </c>
      <c r="E193" s="103">
        <v>14</v>
      </c>
      <c r="F193" s="224">
        <f>SUM(Table79222681196102108114[[#This Row],[Persons]]/$C$15)</f>
        <v>2.3213397446526281E-3</v>
      </c>
      <c r="G193" s="228"/>
      <c r="H193" s="103">
        <f>Table79222681196102108114[[#This Row],[Persons]]-Table79222681196102108114[[#This Row],[2011 Census]]</f>
        <v>14</v>
      </c>
      <c r="I193" s="64" t="str">
        <f>IFERROR((Table79222681196102108114[[#This Row],[Persons]]-Table79222681196102108114[[#This Row],[2011 Census]])/Table79222681196102108114[[#This Row],[2011 Census]],"..")</f>
        <v>..</v>
      </c>
    </row>
    <row r="194" spans="2:9">
      <c r="B194" s="158" t="s">
        <v>157</v>
      </c>
      <c r="C194" s="106">
        <v>9</v>
      </c>
      <c r="D194" s="106">
        <v>5</v>
      </c>
      <c r="E194" s="106">
        <v>14</v>
      </c>
      <c r="F194" s="226">
        <f>SUM(Table79222681196102108114[[#This Row],[Persons]]/$C$15)</f>
        <v>2.3213397446526281E-3</v>
      </c>
      <c r="G194" s="227">
        <v>11</v>
      </c>
      <c r="H194" s="106">
        <f>Table79222681196102108114[[#This Row],[Persons]]-Table79222681196102108114[[#This Row],[2011 Census]]</f>
        <v>3</v>
      </c>
      <c r="I194" s="54">
        <f>IFERROR((Table79222681196102108114[[#This Row],[Persons]]-Table79222681196102108114[[#This Row],[2011 Census]])/Table79222681196102108114[[#This Row],[2011 Census]],"..")</f>
        <v>0.27272727272727271</v>
      </c>
    </row>
    <row r="195" spans="2:9">
      <c r="B195" s="155" t="s">
        <v>165</v>
      </c>
      <c r="C195" s="103">
        <v>4</v>
      </c>
      <c r="D195" s="103">
        <v>0</v>
      </c>
      <c r="E195" s="103">
        <v>4</v>
      </c>
      <c r="F195" s="224">
        <f>SUM(Table79222681196102108114[[#This Row],[Persons]]/$C$15)</f>
        <v>6.6323992704360804E-4</v>
      </c>
      <c r="G195" s="228"/>
      <c r="H195" s="103">
        <f>Table79222681196102108114[[#This Row],[Persons]]-Table79222681196102108114[[#This Row],[2011 Census]]</f>
        <v>4</v>
      </c>
      <c r="I195" s="64" t="str">
        <f>IFERROR((Table79222681196102108114[[#This Row],[Persons]]-Table79222681196102108114[[#This Row],[2011 Census]])/Table79222681196102108114[[#This Row],[2011 Census]],"..")</f>
        <v>..</v>
      </c>
    </row>
    <row r="196" spans="2:9">
      <c r="B196" s="158" t="s">
        <v>156</v>
      </c>
      <c r="C196" s="106">
        <v>4</v>
      </c>
      <c r="D196" s="106">
        <v>4</v>
      </c>
      <c r="E196" s="106">
        <v>3</v>
      </c>
      <c r="F196" s="226">
        <f>SUM(Table79222681196102108114[[#This Row],[Persons]]/$C$15)</f>
        <v>4.9742994528270603E-4</v>
      </c>
      <c r="G196" s="227">
        <v>17</v>
      </c>
      <c r="H196" s="106">
        <f>Table79222681196102108114[[#This Row],[Persons]]-Table79222681196102108114[[#This Row],[2011 Census]]</f>
        <v>-14</v>
      </c>
      <c r="I196" s="54">
        <f>IFERROR((Table79222681196102108114[[#This Row],[Persons]]-Table79222681196102108114[[#This Row],[2011 Census]])/Table79222681196102108114[[#This Row],[2011 Census]],"..")</f>
        <v>-0.82352941176470584</v>
      </c>
    </row>
    <row r="197" spans="2:9">
      <c r="B197" s="155" t="s">
        <v>158</v>
      </c>
      <c r="C197" s="103">
        <v>3</v>
      </c>
      <c r="D197" s="103">
        <v>0</v>
      </c>
      <c r="E197" s="103">
        <v>3</v>
      </c>
      <c r="F197" s="224">
        <f>SUM(Table79222681196102108114[[#This Row],[Persons]]/$C$15)</f>
        <v>4.9742994528270603E-4</v>
      </c>
      <c r="G197" s="228"/>
      <c r="H197" s="103">
        <f>Table79222681196102108114[[#This Row],[Persons]]-Table79222681196102108114[[#This Row],[2011 Census]]</f>
        <v>3</v>
      </c>
      <c r="I197" s="64" t="str">
        <f>IFERROR((Table79222681196102108114[[#This Row],[Persons]]-Table79222681196102108114[[#This Row],[2011 Census]])/Table79222681196102108114[[#This Row],[2011 Census]],"..")</f>
        <v>..</v>
      </c>
    </row>
    <row r="198" spans="2:9">
      <c r="B198" s="158" t="s">
        <v>162</v>
      </c>
      <c r="C198" s="106">
        <v>4</v>
      </c>
      <c r="D198" s="106">
        <v>3</v>
      </c>
      <c r="E198" s="106">
        <v>3</v>
      </c>
      <c r="F198" s="226">
        <f>SUM(Table79222681196102108114[[#This Row],[Persons]]/$C$15)</f>
        <v>4.9742994528270603E-4</v>
      </c>
      <c r="G198" s="227"/>
      <c r="H198" s="106">
        <f>Table79222681196102108114[[#This Row],[Persons]]-Table79222681196102108114[[#This Row],[2011 Census]]</f>
        <v>3</v>
      </c>
      <c r="I198" s="54" t="str">
        <f>IFERROR((Table79222681196102108114[[#This Row],[Persons]]-Table79222681196102108114[[#This Row],[2011 Census]])/Table79222681196102108114[[#This Row],[2011 Census]],"..")</f>
        <v>..</v>
      </c>
    </row>
    <row r="199" spans="2:9">
      <c r="B199" s="158"/>
      <c r="C199" s="106"/>
      <c r="D199" s="106"/>
      <c r="E199" s="106"/>
      <c r="F199" s="226"/>
      <c r="G199" s="227"/>
      <c r="H199" s="106"/>
      <c r="I199" s="54"/>
    </row>
    <row r="200" spans="2:9">
      <c r="B200" s="158"/>
      <c r="C200" s="106"/>
      <c r="D200" s="106"/>
      <c r="E200" s="106"/>
      <c r="F200" s="226"/>
      <c r="G200" s="227"/>
      <c r="H200" s="106"/>
      <c r="I200" s="54"/>
    </row>
    <row r="201" spans="2:9">
      <c r="B201" s="158"/>
      <c r="C201" s="106"/>
      <c r="D201" s="106"/>
      <c r="E201" s="106"/>
      <c r="F201" s="226"/>
      <c r="G201" s="227"/>
      <c r="H201" s="106"/>
      <c r="I201" s="54"/>
    </row>
    <row r="202" spans="2:9">
      <c r="B202" s="158"/>
      <c r="C202" s="106"/>
      <c r="D202" s="106"/>
      <c r="E202" s="106"/>
      <c r="F202" s="226"/>
      <c r="G202" s="227"/>
      <c r="H202" s="106"/>
      <c r="I202" s="54"/>
    </row>
    <row r="203" spans="2:9">
      <c r="B203" s="158"/>
      <c r="C203" s="106"/>
      <c r="D203" s="106"/>
      <c r="E203" s="106"/>
      <c r="F203" s="226"/>
      <c r="G203" s="227"/>
      <c r="H203" s="106"/>
      <c r="I203" s="54"/>
    </row>
    <row r="204" spans="2:9">
      <c r="B204" s="158"/>
      <c r="C204" s="106"/>
      <c r="D204" s="106"/>
      <c r="E204" s="106"/>
      <c r="F204" s="226"/>
      <c r="G204" s="227"/>
      <c r="H204" s="106"/>
      <c r="I204" s="54"/>
    </row>
    <row r="205" spans="2:9">
      <c r="B205" s="155" t="s">
        <v>71</v>
      </c>
      <c r="C205" s="103">
        <v>100</v>
      </c>
      <c r="D205" s="103">
        <v>97</v>
      </c>
      <c r="E205" s="103">
        <v>194</v>
      </c>
      <c r="F205" s="224">
        <f>SUM(Table79222681196102108114[[#This Row],[Persons]]/$C$15)</f>
        <v>3.2167136461614988E-2</v>
      </c>
      <c r="G205" s="228"/>
      <c r="H205" s="103">
        <f>Table79222681196102108114[[#This Row],[Persons]]-Table79222681196102108114[[#This Row],[2011 Census]]</f>
        <v>194</v>
      </c>
      <c r="I205" s="64" t="str">
        <f>IFERROR((Table79222681196102108114[[#This Row],[Persons]]-Table79222681196102108114[[#This Row],[2011 Census]])/Table79222681196102108114[[#This Row],[2011 Census]],"..")</f>
        <v>..</v>
      </c>
    </row>
    <row r="206" spans="2:9">
      <c r="B206" s="158" t="s">
        <v>58</v>
      </c>
      <c r="C206" s="106">
        <v>1148</v>
      </c>
      <c r="D206" s="106">
        <v>669</v>
      </c>
      <c r="E206" s="106">
        <v>1813</v>
      </c>
      <c r="F206" s="226">
        <f>SUM(Table79222681196102108114[[#This Row],[Persons]]/$C$15)</f>
        <v>0.30061349693251532</v>
      </c>
      <c r="G206" s="227"/>
      <c r="H206" s="106">
        <f>Table79222681196102108114[[#This Row],[Persons]]-Table79222681196102108114[[#This Row],[2011 Census]]</f>
        <v>1813</v>
      </c>
      <c r="I206" s="54" t="str">
        <f>IFERROR((Table79222681196102108114[[#This Row],[Persons]]-Table79222681196102108114[[#This Row],[2011 Census]])/Table79222681196102108114[[#This Row],[2011 Census]],"..")</f>
        <v>..</v>
      </c>
    </row>
    <row r="207" spans="2:9" ht="15.75">
      <c r="B207" s="115" t="s">
        <v>72</v>
      </c>
      <c r="C207" s="1041" t="s">
        <v>312</v>
      </c>
      <c r="D207" s="1042" t="s">
        <v>313</v>
      </c>
      <c r="E207" s="116">
        <f>C15</f>
        <v>6031</v>
      </c>
      <c r="F207" s="230" t="s">
        <v>22</v>
      </c>
      <c r="G207" s="116">
        <f>E15</f>
        <v>5829</v>
      </c>
      <c r="H207" s="229">
        <f>SUM(Table79222681196102108114[[#Totals],[Persons]]-Table79222681196102108114[[#Totals],[2011 Census]])</f>
        <v>202</v>
      </c>
      <c r="I207" s="231">
        <f>SUM((Table79222681196102108114[[#Totals],[Persons]]-Table79222681196102108114[[#Totals],[2011 Census]])/Table79222681196102108114[[#Totals],[2011 Census]])</f>
        <v>3.4654314633727909E-2</v>
      </c>
    </row>
    <row r="208" spans="2:9" ht="15.75">
      <c r="B208" s="114"/>
      <c r="C208" s="114"/>
      <c r="D208" s="114"/>
      <c r="E208" s="114"/>
      <c r="F208" s="114"/>
      <c r="G208" s="114"/>
      <c r="H208" s="114"/>
      <c r="I208" s="114"/>
    </row>
    <row r="209" spans="2:10" ht="23.25">
      <c r="B209" s="127" t="s">
        <v>728</v>
      </c>
    </row>
    <row r="210" spans="2:10" ht="15.75">
      <c r="B210" s="150" t="s">
        <v>827</v>
      </c>
    </row>
    <row r="211" spans="2:10" ht="25.5">
      <c r="B211" s="173" t="s">
        <v>64</v>
      </c>
      <c r="C211" s="222" t="s">
        <v>66</v>
      </c>
      <c r="D211" s="222" t="s">
        <v>67</v>
      </c>
      <c r="E211" s="222" t="s">
        <v>58</v>
      </c>
      <c r="F211" s="233" t="s">
        <v>68</v>
      </c>
      <c r="G211" s="233" t="s">
        <v>24</v>
      </c>
      <c r="H211" s="233" t="s">
        <v>25</v>
      </c>
      <c r="I211" s="233" t="s">
        <v>69</v>
      </c>
      <c r="J211" s="233" t="s">
        <v>27</v>
      </c>
    </row>
    <row r="212" spans="2:10">
      <c r="B212" s="155" t="s">
        <v>152</v>
      </c>
      <c r="C212" s="103">
        <v>2149</v>
      </c>
      <c r="D212" s="103">
        <v>0</v>
      </c>
      <c r="E212" s="103">
        <v>16</v>
      </c>
      <c r="F212" s="234">
        <v>614</v>
      </c>
      <c r="G212" s="235">
        <v>379</v>
      </c>
      <c r="H212" s="235">
        <v>665</v>
      </c>
      <c r="I212" s="236">
        <v>382</v>
      </c>
      <c r="J212" s="235">
        <v>126</v>
      </c>
    </row>
    <row r="213" spans="2:10">
      <c r="B213" s="158" t="s">
        <v>150</v>
      </c>
      <c r="C213" s="106">
        <v>909</v>
      </c>
      <c r="D213" s="106">
        <v>33</v>
      </c>
      <c r="E213" s="106">
        <v>9</v>
      </c>
      <c r="F213" s="237">
        <v>258</v>
      </c>
      <c r="G213" s="238">
        <v>160</v>
      </c>
      <c r="H213" s="238">
        <v>277</v>
      </c>
      <c r="I213" s="239">
        <v>208</v>
      </c>
      <c r="J213" s="238">
        <v>45</v>
      </c>
    </row>
    <row r="214" spans="2:10">
      <c r="B214" s="155" t="s">
        <v>149</v>
      </c>
      <c r="C214" s="103">
        <v>448</v>
      </c>
      <c r="D214" s="103">
        <v>70</v>
      </c>
      <c r="E214" s="103">
        <v>11</v>
      </c>
      <c r="F214" s="240">
        <v>120</v>
      </c>
      <c r="G214" s="241">
        <v>76</v>
      </c>
      <c r="H214" s="241">
        <v>193</v>
      </c>
      <c r="I214" s="242">
        <v>108</v>
      </c>
      <c r="J214" s="241">
        <v>34</v>
      </c>
    </row>
    <row r="215" spans="2:10">
      <c r="B215" s="158" t="s">
        <v>151</v>
      </c>
      <c r="C215" s="106">
        <v>84</v>
      </c>
      <c r="D215" s="106">
        <v>13</v>
      </c>
      <c r="E215" s="106">
        <v>3</v>
      </c>
      <c r="F215" s="237">
        <v>5</v>
      </c>
      <c r="G215" s="238">
        <v>5</v>
      </c>
      <c r="H215" s="238">
        <v>14</v>
      </c>
      <c r="I215" s="239">
        <v>58</v>
      </c>
      <c r="J215" s="238">
        <v>13</v>
      </c>
    </row>
    <row r="216" spans="2:10">
      <c r="B216" s="155" t="s">
        <v>153</v>
      </c>
      <c r="C216" s="103">
        <v>74</v>
      </c>
      <c r="D216" s="103">
        <v>6</v>
      </c>
      <c r="E216" s="103">
        <v>4</v>
      </c>
      <c r="F216" s="240">
        <v>10</v>
      </c>
      <c r="G216" s="241">
        <v>9</v>
      </c>
      <c r="H216" s="241">
        <v>22</v>
      </c>
      <c r="I216" s="242">
        <v>20</v>
      </c>
      <c r="J216" s="241">
        <v>10</v>
      </c>
    </row>
    <row r="217" spans="2:10">
      <c r="B217" s="158" t="s">
        <v>164</v>
      </c>
      <c r="C217" s="106">
        <v>75</v>
      </c>
      <c r="D217" s="106">
        <v>0</v>
      </c>
      <c r="E217" s="106">
        <v>0</v>
      </c>
      <c r="F217" s="237">
        <v>19</v>
      </c>
      <c r="G217" s="238">
        <v>10</v>
      </c>
      <c r="H217" s="238">
        <v>28</v>
      </c>
      <c r="I217" s="239">
        <v>18</v>
      </c>
      <c r="J217" s="238">
        <v>7</v>
      </c>
    </row>
    <row r="218" spans="2:10">
      <c r="B218" s="155" t="s">
        <v>163</v>
      </c>
      <c r="C218" s="103">
        <v>45</v>
      </c>
      <c r="D218" s="103">
        <v>0</v>
      </c>
      <c r="E218" s="103">
        <v>0</v>
      </c>
      <c r="F218" s="240">
        <v>12</v>
      </c>
      <c r="G218" s="241">
        <v>5</v>
      </c>
      <c r="H218" s="241">
        <v>15</v>
      </c>
      <c r="I218" s="242">
        <v>15</v>
      </c>
      <c r="J218" s="241">
        <v>3</v>
      </c>
    </row>
    <row r="219" spans="2:10">
      <c r="B219" s="158" t="s">
        <v>154</v>
      </c>
      <c r="C219" s="106">
        <v>28</v>
      </c>
      <c r="D219" s="106">
        <v>5</v>
      </c>
      <c r="E219" s="106">
        <v>0</v>
      </c>
      <c r="F219" s="237">
        <v>8</v>
      </c>
      <c r="G219" s="238">
        <v>6</v>
      </c>
      <c r="H219" s="238">
        <v>13</v>
      </c>
      <c r="I219" s="239">
        <v>8</v>
      </c>
      <c r="J219" s="238">
        <v>0</v>
      </c>
    </row>
    <row r="220" spans="2:10">
      <c r="B220" s="155" t="s">
        <v>157</v>
      </c>
      <c r="C220" s="103">
        <v>10</v>
      </c>
      <c r="D220" s="103">
        <v>3</v>
      </c>
      <c r="E220" s="103">
        <v>0</v>
      </c>
      <c r="F220" s="240">
        <v>0</v>
      </c>
      <c r="G220" s="241">
        <v>0</v>
      </c>
      <c r="H220" s="241">
        <v>3</v>
      </c>
      <c r="I220" s="242">
        <v>10</v>
      </c>
      <c r="J220" s="241">
        <v>0</v>
      </c>
    </row>
    <row r="221" spans="2:10">
      <c r="B221" s="158" t="s">
        <v>155</v>
      </c>
      <c r="C221" s="106">
        <v>14</v>
      </c>
      <c r="D221" s="106">
        <v>0</v>
      </c>
      <c r="E221" s="106">
        <v>0</v>
      </c>
      <c r="F221" s="237">
        <v>3</v>
      </c>
      <c r="G221" s="238">
        <v>3</v>
      </c>
      <c r="H221" s="238">
        <v>0</v>
      </c>
      <c r="I221" s="239">
        <v>9</v>
      </c>
      <c r="J221" s="238">
        <v>0</v>
      </c>
    </row>
    <row r="222" spans="2:10">
      <c r="B222" s="155" t="s">
        <v>165</v>
      </c>
      <c r="C222" s="103">
        <v>0</v>
      </c>
      <c r="D222" s="103">
        <v>0</v>
      </c>
      <c r="E222" s="103">
        <v>0</v>
      </c>
      <c r="F222" s="240">
        <v>0</v>
      </c>
      <c r="G222" s="241">
        <v>0</v>
      </c>
      <c r="H222" s="241">
        <v>0</v>
      </c>
      <c r="I222" s="242">
        <v>0</v>
      </c>
      <c r="J222" s="241">
        <v>0</v>
      </c>
    </row>
    <row r="223" spans="2:10">
      <c r="B223" s="158" t="s">
        <v>156</v>
      </c>
      <c r="C223" s="106">
        <v>0</v>
      </c>
      <c r="D223" s="106">
        <v>4</v>
      </c>
      <c r="E223" s="106">
        <v>0</v>
      </c>
      <c r="F223" s="237">
        <v>0</v>
      </c>
      <c r="G223" s="238">
        <v>0</v>
      </c>
      <c r="H223" s="238">
        <v>0</v>
      </c>
      <c r="I223" s="239">
        <v>3</v>
      </c>
      <c r="J223" s="238">
        <v>0</v>
      </c>
    </row>
    <row r="224" spans="2:10">
      <c r="B224" s="155" t="s">
        <v>162</v>
      </c>
      <c r="C224" s="103">
        <v>0</v>
      </c>
      <c r="D224" s="103">
        <v>3</v>
      </c>
      <c r="E224" s="103">
        <v>0</v>
      </c>
      <c r="F224" s="240">
        <v>0</v>
      </c>
      <c r="G224" s="241">
        <v>0</v>
      </c>
      <c r="H224" s="241">
        <v>0</v>
      </c>
      <c r="I224" s="242">
        <v>3</v>
      </c>
      <c r="J224" s="241">
        <v>0</v>
      </c>
    </row>
    <row r="225" spans="2:11">
      <c r="B225" s="158" t="s">
        <v>158</v>
      </c>
      <c r="C225" s="106">
        <v>0</v>
      </c>
      <c r="D225" s="106">
        <v>4</v>
      </c>
      <c r="E225" s="106">
        <v>0</v>
      </c>
      <c r="F225" s="237">
        <v>0</v>
      </c>
      <c r="G225" s="238">
        <v>0</v>
      </c>
      <c r="H225" s="238">
        <v>0</v>
      </c>
      <c r="I225" s="239">
        <v>0</v>
      </c>
      <c r="J225" s="238">
        <v>0</v>
      </c>
    </row>
    <row r="226" spans="2:11">
      <c r="B226" s="155" t="s">
        <v>168</v>
      </c>
      <c r="C226" s="103">
        <v>0</v>
      </c>
      <c r="D226" s="103">
        <v>0</v>
      </c>
      <c r="E226" s="103">
        <v>0</v>
      </c>
      <c r="F226" s="240">
        <v>0</v>
      </c>
      <c r="G226" s="241">
        <v>0</v>
      </c>
      <c r="H226" s="241">
        <v>0</v>
      </c>
      <c r="I226" s="242">
        <v>0</v>
      </c>
      <c r="J226" s="241">
        <v>0</v>
      </c>
    </row>
    <row r="227" spans="2:11">
      <c r="B227" s="158" t="s">
        <v>159</v>
      </c>
      <c r="C227" s="106">
        <v>0</v>
      </c>
      <c r="D227" s="106">
        <v>0</v>
      </c>
      <c r="E227" s="106">
        <v>0</v>
      </c>
      <c r="F227" s="237">
        <v>0</v>
      </c>
      <c r="G227" s="238">
        <v>0</v>
      </c>
      <c r="H227" s="238">
        <v>0</v>
      </c>
      <c r="I227" s="239">
        <v>0</v>
      </c>
      <c r="J227" s="238">
        <v>0</v>
      </c>
    </row>
    <row r="228" spans="2:11">
      <c r="B228" s="155" t="s">
        <v>166</v>
      </c>
      <c r="C228" s="103">
        <v>0</v>
      </c>
      <c r="D228" s="103">
        <v>0</v>
      </c>
      <c r="E228" s="103">
        <v>0</v>
      </c>
      <c r="F228" s="240">
        <v>0</v>
      </c>
      <c r="G228" s="241">
        <v>0</v>
      </c>
      <c r="H228" s="241">
        <v>0</v>
      </c>
      <c r="I228" s="242">
        <v>0</v>
      </c>
      <c r="J228" s="241">
        <v>0</v>
      </c>
    </row>
    <row r="229" spans="2:11">
      <c r="B229" s="158" t="s">
        <v>167</v>
      </c>
      <c r="C229" s="106">
        <v>0</v>
      </c>
      <c r="D229" s="106">
        <v>0</v>
      </c>
      <c r="E229" s="106">
        <v>0</v>
      </c>
      <c r="F229" s="237">
        <v>0</v>
      </c>
      <c r="G229" s="238">
        <v>0</v>
      </c>
      <c r="H229" s="238">
        <v>0</v>
      </c>
      <c r="I229" s="239">
        <v>0</v>
      </c>
      <c r="J229" s="238">
        <v>0</v>
      </c>
    </row>
    <row r="230" spans="2:11">
      <c r="B230" s="155" t="s">
        <v>160</v>
      </c>
      <c r="C230" s="103">
        <v>0</v>
      </c>
      <c r="D230" s="103">
        <v>0</v>
      </c>
      <c r="E230" s="103">
        <v>0</v>
      </c>
      <c r="F230" s="240">
        <v>0</v>
      </c>
      <c r="G230" s="241">
        <v>0</v>
      </c>
      <c r="H230" s="241">
        <v>0</v>
      </c>
      <c r="I230" s="242">
        <v>0</v>
      </c>
      <c r="J230" s="241">
        <v>0</v>
      </c>
    </row>
    <row r="231" spans="2:11">
      <c r="B231" s="158" t="s">
        <v>161</v>
      </c>
      <c r="C231" s="106">
        <v>0</v>
      </c>
      <c r="D231" s="106">
        <v>0</v>
      </c>
      <c r="E231" s="106">
        <v>0</v>
      </c>
      <c r="F231" s="237">
        <v>0</v>
      </c>
      <c r="G231" s="238">
        <v>0</v>
      </c>
      <c r="H231" s="238">
        <v>0</v>
      </c>
      <c r="I231" s="239">
        <v>0</v>
      </c>
      <c r="J231" s="238">
        <v>0</v>
      </c>
    </row>
    <row r="232" spans="2:11">
      <c r="B232" s="158" t="s">
        <v>71</v>
      </c>
      <c r="C232" s="106">
        <v>179</v>
      </c>
      <c r="D232" s="106">
        <v>15</v>
      </c>
      <c r="E232" s="106">
        <v>5</v>
      </c>
      <c r="F232" s="237">
        <v>37</v>
      </c>
      <c r="G232" s="238">
        <v>47</v>
      </c>
      <c r="H232" s="238">
        <v>64</v>
      </c>
      <c r="I232" s="239">
        <v>40</v>
      </c>
      <c r="J232" s="238">
        <v>10</v>
      </c>
    </row>
    <row r="233" spans="2:11">
      <c r="B233" s="158" t="s">
        <v>58</v>
      </c>
      <c r="C233" s="106">
        <v>1418</v>
      </c>
      <c r="D233" s="106">
        <v>17</v>
      </c>
      <c r="E233" s="106">
        <v>378</v>
      </c>
      <c r="F233" s="237">
        <v>150</v>
      </c>
      <c r="G233" s="238">
        <v>604</v>
      </c>
      <c r="H233" s="238">
        <v>686</v>
      </c>
      <c r="I233" s="239">
        <v>340</v>
      </c>
      <c r="J233" s="238">
        <v>38</v>
      </c>
    </row>
    <row r="234" spans="2:11" ht="15.75">
      <c r="B234" s="115" t="s">
        <v>72</v>
      </c>
      <c r="C234" s="116">
        <f>C16</f>
        <v>5435</v>
      </c>
      <c r="D234" s="116">
        <f>C17</f>
        <v>169</v>
      </c>
      <c r="E234" s="116">
        <f>C18</f>
        <v>429</v>
      </c>
      <c r="F234" s="116" t="s">
        <v>271</v>
      </c>
      <c r="G234" s="696" t="s">
        <v>272</v>
      </c>
      <c r="H234" s="696" t="s">
        <v>273</v>
      </c>
      <c r="I234" s="696" t="s">
        <v>274</v>
      </c>
      <c r="J234" s="696" t="s">
        <v>275</v>
      </c>
    </row>
    <row r="235" spans="2:11">
      <c r="J235" s="180"/>
    </row>
    <row r="236" spans="2:11">
      <c r="J236" s="183"/>
    </row>
    <row r="237" spans="2:11" ht="15.75">
      <c r="K237" s="285" t="s">
        <v>642</v>
      </c>
    </row>
    <row r="238" spans="2:11" ht="15.75">
      <c r="B238" s="499" t="s">
        <v>857</v>
      </c>
      <c r="C238" s="500"/>
      <c r="D238" s="500"/>
      <c r="E238" s="500"/>
      <c r="F238" s="500"/>
      <c r="G238" s="500"/>
      <c r="H238" s="500"/>
      <c r="I238" s="500"/>
      <c r="J238" s="501"/>
    </row>
    <row r="239" spans="2:11" ht="15.75">
      <c r="B239" s="502" t="s">
        <v>424</v>
      </c>
      <c r="C239" s="503"/>
      <c r="D239" s="503"/>
      <c r="E239" s="503"/>
      <c r="F239" s="503"/>
      <c r="G239" s="503"/>
      <c r="H239" s="503"/>
      <c r="I239" s="503"/>
      <c r="J239" s="504"/>
    </row>
    <row r="240" spans="2:11" ht="15.75">
      <c r="B240" s="505" t="s">
        <v>824</v>
      </c>
      <c r="C240" s="506"/>
      <c r="D240" s="506"/>
      <c r="E240" s="506"/>
      <c r="F240" s="506"/>
      <c r="G240" s="506"/>
      <c r="H240" s="506"/>
      <c r="I240" s="506"/>
      <c r="J240" s="507"/>
    </row>
  </sheetData>
  <sheetProtection password="C6DE" sheet="1" objects="1" scenarios="1"/>
  <mergeCells count="14">
    <mergeCell ref="J1:K1"/>
    <mergeCell ref="I30:J30"/>
    <mergeCell ref="I31:J31"/>
    <mergeCell ref="I32:J32"/>
    <mergeCell ref="I33:J33"/>
    <mergeCell ref="I34:J34"/>
    <mergeCell ref="I40:J40"/>
    <mergeCell ref="C169:F169"/>
    <mergeCell ref="I42:J42"/>
    <mergeCell ref="I35:J35"/>
    <mergeCell ref="I36:J36"/>
    <mergeCell ref="I37:J37"/>
    <mergeCell ref="I38:J38"/>
    <mergeCell ref="I39:J39"/>
  </mergeCells>
  <hyperlinks>
    <hyperlink ref="J1:K1" location="'Index '!A1" display="Back to Index"/>
    <hyperlink ref="K237" location="'3.11 MacDonnell'!K1" display="Back to top"/>
  </hyperlinks>
  <pageMargins left="0.35433070866141736" right="3.937007874015748E-2" top="0.51181102362204722" bottom="0.35433070866141736" header="0.11811023622047245" footer="0.11811023622047245"/>
  <pageSetup paperSize="9" scale="56" fitToHeight="10" orientation="portrait" horizontalDpi="300" verticalDpi="300" r:id="rId1"/>
  <headerFooter differentFirst="1" alignWithMargins="0">
    <oddHeader>&amp;L&amp;"Helvetica Bold,Bold"&amp;18&amp;K000000X LGA (Continued)</oddHeader>
  </headerFooter>
  <drawing r:id="rId2"/>
  <tableParts count="6">
    <tablePart r:id="rId3"/>
    <tablePart r:id="rId4"/>
    <tablePart r:id="rId5"/>
    <tablePart r:id="rId6"/>
    <tablePart r:id="rId7"/>
    <tablePart r:id="rId8"/>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8"/>
  <sheetViews>
    <sheetView showGridLines="0" workbookViewId="0">
      <selection activeCell="C17" sqref="C17"/>
    </sheetView>
  </sheetViews>
  <sheetFormatPr defaultColWidth="8.875" defaultRowHeight="15"/>
  <cols>
    <col min="1" max="1" width="5.5" style="698" customWidth="1"/>
    <col min="2" max="2" width="41.5" style="698" customWidth="1"/>
    <col min="3" max="11" width="10.875" style="698" customWidth="1"/>
    <col min="12" max="16384" width="8.875" style="698"/>
  </cols>
  <sheetData>
    <row r="1" spans="1:11" ht="18.75">
      <c r="A1" s="697"/>
      <c r="J1" s="1244" t="s">
        <v>359</v>
      </c>
      <c r="K1" s="1244"/>
    </row>
    <row r="2" spans="1:11" ht="30" customHeight="1">
      <c r="A2" s="699"/>
      <c r="B2" s="1043" t="s">
        <v>911</v>
      </c>
      <c r="C2" s="1044"/>
      <c r="D2" s="1044"/>
      <c r="E2" s="1044"/>
      <c r="F2" s="1044"/>
      <c r="G2" s="1045"/>
      <c r="H2" s="1045"/>
      <c r="I2" s="1045"/>
      <c r="J2" s="1045"/>
      <c r="K2" s="1045"/>
    </row>
    <row r="4" spans="1:11">
      <c r="A4" s="1046"/>
      <c r="B4" s="1047" t="s">
        <v>2</v>
      </c>
      <c r="C4" s="1048">
        <v>0.70599999999999996</v>
      </c>
      <c r="D4" s="1046"/>
    </row>
    <row r="5" spans="1:11">
      <c r="A5" s="1046"/>
      <c r="B5" s="1047" t="s">
        <v>3</v>
      </c>
      <c r="C5" s="1048">
        <v>9.1999999999999998E-2</v>
      </c>
      <c r="D5" s="1046"/>
    </row>
    <row r="6" spans="1:11">
      <c r="A6" s="1046"/>
      <c r="B6" s="1047" t="s">
        <v>632</v>
      </c>
      <c r="C6" s="1048">
        <v>6.7000000000000004E-2</v>
      </c>
      <c r="D6" s="1046"/>
    </row>
    <row r="7" spans="1:11">
      <c r="A7" s="1046"/>
      <c r="B7" s="1049" t="s">
        <v>5</v>
      </c>
      <c r="C7" s="1048">
        <v>0.13600000000000001</v>
      </c>
      <c r="D7" s="1046"/>
    </row>
    <row r="8" spans="1:11">
      <c r="A8" s="1046"/>
      <c r="B8" s="1046"/>
      <c r="C8" s="1046"/>
      <c r="D8" s="1046"/>
    </row>
    <row r="12" spans="1:11" ht="23.25">
      <c r="B12" s="127" t="s">
        <v>729</v>
      </c>
      <c r="J12" s="938"/>
    </row>
    <row r="13" spans="1:11" ht="26.25">
      <c r="B13" s="706" t="s">
        <v>0</v>
      </c>
      <c r="C13" s="707" t="s">
        <v>6</v>
      </c>
      <c r="D13" s="939" t="s">
        <v>1</v>
      </c>
      <c r="E13" s="707" t="s">
        <v>7</v>
      </c>
      <c r="F13" s="707" t="s">
        <v>361</v>
      </c>
      <c r="G13" s="707" t="s">
        <v>8</v>
      </c>
    </row>
    <row r="14" spans="1:11" ht="15" customHeight="1">
      <c r="B14" s="709" t="s">
        <v>9</v>
      </c>
      <c r="C14" s="710">
        <v>33786</v>
      </c>
      <c r="D14" s="941">
        <f>C14/$C$14*100</f>
        <v>100</v>
      </c>
      <c r="E14" s="1050">
        <v>27703</v>
      </c>
      <c r="F14" s="1050">
        <f>Table5[[#This Row],[Persons]]-Table5[[#This Row],[2011 Census]]</f>
        <v>6083</v>
      </c>
      <c r="G14" s="1051">
        <f>Table5[[#This Row],[Change 2016-2011]]/Table5[[#This Row],[2011 Census]]</f>
        <v>0.21957910695592536</v>
      </c>
    </row>
    <row r="15" spans="1:11" ht="15" customHeight="1">
      <c r="B15" s="716" t="s">
        <v>2</v>
      </c>
      <c r="C15" s="717">
        <v>23851</v>
      </c>
      <c r="D15" s="945">
        <f t="shared" ref="D15:D24" si="0">C15/$C$14*100</f>
        <v>70.594329012016814</v>
      </c>
      <c r="E15" s="942">
        <v>20980</v>
      </c>
      <c r="F15" s="942">
        <f>Table5[[#This Row],[Persons]]-Table5[[#This Row],[2011 Census]]</f>
        <v>2871</v>
      </c>
      <c r="G15" s="1052">
        <f>Table5[[#This Row],[Change 2016-2011]]/Table5[[#This Row],[2011 Census]]</f>
        <v>0.13684461391801717</v>
      </c>
    </row>
    <row r="16" spans="1:11" ht="15" customHeight="1">
      <c r="B16" s="716" t="s">
        <v>362</v>
      </c>
      <c r="C16" s="717">
        <v>6849</v>
      </c>
      <c r="D16" s="945">
        <f t="shared" si="0"/>
        <v>20.271710175812466</v>
      </c>
      <c r="E16" s="942">
        <v>4215</v>
      </c>
      <c r="F16" s="942">
        <f>Table5[[#This Row],[Persons]]-Table5[[#This Row],[2011 Census]]</f>
        <v>2634</v>
      </c>
      <c r="G16" s="1052">
        <f>Table5[[#This Row],[Change 2016-2011]]/Table5[[#This Row],[2011 Census]]</f>
        <v>0.62491103202846976</v>
      </c>
    </row>
    <row r="17" spans="2:11" ht="15" customHeight="1">
      <c r="B17" s="716" t="s">
        <v>3</v>
      </c>
      <c r="C17" s="717">
        <v>3092</v>
      </c>
      <c r="D17" s="945">
        <f t="shared" si="0"/>
        <v>9.1517196471911451</v>
      </c>
      <c r="E17" s="942">
        <v>2511</v>
      </c>
      <c r="F17" s="942">
        <f>Table5[[#This Row],[Persons]]-Table5[[#This Row],[2011 Census]]</f>
        <v>581</v>
      </c>
      <c r="G17" s="1052">
        <f>Table5[[#This Row],[Change 2016-2011]]/Table5[[#This Row],[2011 Census]]</f>
        <v>0.23138191955396256</v>
      </c>
    </row>
    <row r="18" spans="2:11" ht="15" customHeight="1">
      <c r="B18" s="721" t="s">
        <v>4</v>
      </c>
      <c r="C18" s="717">
        <v>2270</v>
      </c>
      <c r="D18" s="945">
        <f t="shared" si="0"/>
        <v>6.7187592493932398</v>
      </c>
      <c r="E18" s="942">
        <v>1756</v>
      </c>
      <c r="F18" s="942">
        <f>Table5[[#This Row],[Persons]]-Table5[[#This Row],[2011 Census]]</f>
        <v>514</v>
      </c>
      <c r="G18" s="1052">
        <f>Table5[[#This Row],[Change 2016-2011]]/Table5[[#This Row],[2011 Census]]</f>
        <v>0.29271070615034167</v>
      </c>
    </row>
    <row r="19" spans="2:11" ht="15" customHeight="1">
      <c r="B19" s="946" t="s">
        <v>5</v>
      </c>
      <c r="C19" s="717">
        <f>C16-C18</f>
        <v>4579</v>
      </c>
      <c r="D19" s="945">
        <f t="shared" si="0"/>
        <v>13.552950926419227</v>
      </c>
      <c r="E19" s="942">
        <v>2456</v>
      </c>
      <c r="F19" s="942">
        <f>Table5[[#This Row],[Persons]]-Table5[[#This Row],[2011 Census]]</f>
        <v>2123</v>
      </c>
      <c r="G19" s="1052">
        <f>Table5[[#This Row],[Change 2016-2011]]/Table5[[#This Row],[2011 Census]]</f>
        <v>0.86441368078175895</v>
      </c>
    </row>
    <row r="20" spans="2:11" ht="15" customHeight="1">
      <c r="B20" s="716" t="s">
        <v>11</v>
      </c>
      <c r="C20" s="460">
        <v>3905</v>
      </c>
      <c r="D20" s="945">
        <f t="shared" si="0"/>
        <v>11.558041792458415</v>
      </c>
      <c r="E20" s="942">
        <v>2609</v>
      </c>
      <c r="F20" s="942">
        <f>Table5[[#This Row],[Persons]]-Table5[[#This Row],[2011 Census]]</f>
        <v>1296</v>
      </c>
      <c r="G20" s="1052">
        <f>Table5[[#This Row],[Change 2016-2011]]/Table5[[#This Row],[2011 Census]]</f>
        <v>0.4967420467612112</v>
      </c>
    </row>
    <row r="21" spans="2:11" ht="15" customHeight="1">
      <c r="B21" s="716" t="s">
        <v>12</v>
      </c>
      <c r="C21" s="717">
        <v>3812</v>
      </c>
      <c r="D21" s="945">
        <f t="shared" si="0"/>
        <v>11.282779849641864</v>
      </c>
      <c r="E21" s="942">
        <v>3085</v>
      </c>
      <c r="F21" s="942">
        <f>Table5[[#This Row],[Persons]]-Table5[[#This Row],[2011 Census]]</f>
        <v>727</v>
      </c>
      <c r="G21" s="1052">
        <f>Table5[[#This Row],[Change 2016-2011]]/Table5[[#This Row],[2011 Census]]</f>
        <v>0.23565640194489465</v>
      </c>
    </row>
    <row r="22" spans="2:11" ht="15" customHeight="1">
      <c r="B22" s="716" t="s">
        <v>13</v>
      </c>
      <c r="C22" s="717">
        <v>5066</v>
      </c>
      <c r="D22" s="945">
        <f t="shared" si="0"/>
        <v>14.994376368910201</v>
      </c>
      <c r="E22" s="942">
        <v>2685</v>
      </c>
      <c r="F22" s="942">
        <f>Table5[[#This Row],[Persons]]-Table5[[#This Row],[2011 Census]]</f>
        <v>2381</v>
      </c>
      <c r="G22" s="1052">
        <f>Table5[[#This Row],[Change 2016-2011]]/Table5[[#This Row],[2011 Census]]</f>
        <v>0.88677839851024209</v>
      </c>
    </row>
    <row r="23" spans="2:11" ht="15" customHeight="1">
      <c r="B23" s="262" t="s">
        <v>869</v>
      </c>
      <c r="C23" s="719">
        <v>1926</v>
      </c>
      <c r="D23" s="945">
        <f t="shared" si="0"/>
        <v>5.7005860415556739</v>
      </c>
      <c r="E23" s="341">
        <v>1151</v>
      </c>
      <c r="F23" s="341">
        <f>Table5[[#This Row],[Persons]]-Table5[[#This Row],[2011 Census]]</f>
        <v>775</v>
      </c>
      <c r="G23" s="1053">
        <f>Table5[[#This Row],[Change 2016-2011]]/Table5[[#This Row],[2011 Census]]</f>
        <v>0.67332754126846217</v>
      </c>
    </row>
    <row r="24" spans="2:11" ht="15" customHeight="1">
      <c r="B24" s="262" t="s">
        <v>870</v>
      </c>
      <c r="C24" s="719">
        <v>1354</v>
      </c>
      <c r="D24" s="945">
        <f t="shared" si="0"/>
        <v>4.0075771029420473</v>
      </c>
      <c r="E24" s="341">
        <v>736</v>
      </c>
      <c r="F24" s="341">
        <f>Table5[[#This Row],[Persons]]-Table5[[#This Row],[2011 Census]]</f>
        <v>618</v>
      </c>
      <c r="G24" s="1053">
        <f>Table5[[#This Row],[Change 2016-2011]]/Table5[[#This Row],[2011 Census]]</f>
        <v>0.83967391304347827</v>
      </c>
    </row>
    <row r="25" spans="2:11" s="329" customFormat="1" ht="12.75">
      <c r="B25" s="349" t="s">
        <v>366</v>
      </c>
    </row>
    <row r="26" spans="2:11" s="329" customFormat="1" ht="12.75">
      <c r="B26" s="349"/>
    </row>
    <row r="27" spans="2:11" ht="23.25">
      <c r="B27" s="127" t="s">
        <v>730</v>
      </c>
      <c r="C27" s="715"/>
      <c r="D27" s="724"/>
      <c r="E27" s="723"/>
      <c r="F27" s="723"/>
      <c r="G27" s="723"/>
      <c r="H27" s="715"/>
      <c r="I27" s="715"/>
    </row>
    <row r="28" spans="2:11" ht="15" customHeight="1">
      <c r="B28" s="725" t="s">
        <v>333</v>
      </c>
      <c r="C28" s="715"/>
      <c r="D28" s="723"/>
      <c r="E28" s="723"/>
      <c r="F28" s="723"/>
      <c r="G28" s="723"/>
      <c r="H28" s="715"/>
      <c r="I28" s="715"/>
    </row>
    <row r="29" spans="2:11" ht="26.25">
      <c r="B29" s="786" t="s">
        <v>14</v>
      </c>
      <c r="C29" s="765" t="s">
        <v>37</v>
      </c>
      <c r="D29" s="765" t="s">
        <v>38</v>
      </c>
      <c r="E29" s="765" t="s">
        <v>6</v>
      </c>
      <c r="F29" s="765" t="s">
        <v>18</v>
      </c>
      <c r="G29" s="765" t="s">
        <v>19</v>
      </c>
      <c r="H29" s="766" t="s">
        <v>40</v>
      </c>
      <c r="I29" s="1054"/>
    </row>
    <row r="30" spans="2:11">
      <c r="B30" s="1206" t="s">
        <v>76</v>
      </c>
      <c r="C30" s="379">
        <v>596</v>
      </c>
      <c r="D30" s="379">
        <v>767</v>
      </c>
      <c r="E30" s="379">
        <v>1362</v>
      </c>
      <c r="F30" s="1055">
        <f>E30/$E$57</f>
        <v>0.1988611476127902</v>
      </c>
      <c r="G30" s="379">
        <v>581</v>
      </c>
      <c r="H30" s="1207">
        <f>(E30-G30)/G30</f>
        <v>1.3442340791738383</v>
      </c>
      <c r="I30" s="1056"/>
    </row>
    <row r="31" spans="2:11">
      <c r="B31" s="1208" t="s">
        <v>92</v>
      </c>
      <c r="C31" s="970">
        <v>425</v>
      </c>
      <c r="D31" s="970">
        <v>419</v>
      </c>
      <c r="E31" s="970">
        <v>846</v>
      </c>
      <c r="F31" s="1057">
        <f t="shared" ref="F31:F55" si="1">E31/$E$57</f>
        <v>0.12352168199737187</v>
      </c>
      <c r="G31" s="970">
        <v>795</v>
      </c>
      <c r="H31" s="1209">
        <f>(E31-G31)/G31</f>
        <v>6.4150943396226415E-2</v>
      </c>
      <c r="I31" s="1056"/>
      <c r="J31" s="1245"/>
      <c r="K31" s="1245"/>
    </row>
    <row r="32" spans="2:11">
      <c r="B32" s="1208" t="s">
        <v>73</v>
      </c>
      <c r="C32" s="970">
        <v>431</v>
      </c>
      <c r="D32" s="970">
        <v>390</v>
      </c>
      <c r="E32" s="970">
        <v>825</v>
      </c>
      <c r="F32" s="1057">
        <f t="shared" si="1"/>
        <v>0.12045554095488392</v>
      </c>
      <c r="G32" s="970">
        <v>522</v>
      </c>
      <c r="H32" s="1209">
        <f t="shared" ref="H32:H55" si="2">(E32-G32)/G32</f>
        <v>0.58045977011494254</v>
      </c>
      <c r="I32" s="1056"/>
      <c r="J32" s="1245"/>
      <c r="K32" s="1245"/>
    </row>
    <row r="33" spans="2:11">
      <c r="B33" s="1208" t="s">
        <v>75</v>
      </c>
      <c r="C33" s="970">
        <v>282</v>
      </c>
      <c r="D33" s="970">
        <v>254</v>
      </c>
      <c r="E33" s="970">
        <v>538</v>
      </c>
      <c r="F33" s="1057">
        <f t="shared" si="1"/>
        <v>7.8551613374215221E-2</v>
      </c>
      <c r="G33" s="970">
        <v>224</v>
      </c>
      <c r="H33" s="1209">
        <f t="shared" si="2"/>
        <v>1.4017857142857142</v>
      </c>
      <c r="I33" s="1056"/>
      <c r="J33" s="1245"/>
      <c r="K33" s="1245"/>
    </row>
    <row r="34" spans="2:11">
      <c r="B34" s="1208" t="s">
        <v>78</v>
      </c>
      <c r="C34" s="970">
        <v>107</v>
      </c>
      <c r="D34" s="970">
        <v>94</v>
      </c>
      <c r="E34" s="970">
        <v>196</v>
      </c>
      <c r="F34" s="1057">
        <f t="shared" si="1"/>
        <v>2.8617316396554241E-2</v>
      </c>
      <c r="G34" s="970">
        <v>152</v>
      </c>
      <c r="H34" s="1209">
        <f t="shared" si="2"/>
        <v>0.28947368421052633</v>
      </c>
      <c r="I34" s="1056"/>
      <c r="J34" s="1245"/>
      <c r="K34" s="1245"/>
    </row>
    <row r="35" spans="2:11">
      <c r="B35" s="1208" t="s">
        <v>91</v>
      </c>
      <c r="C35" s="970">
        <v>49</v>
      </c>
      <c r="D35" s="970">
        <v>132</v>
      </c>
      <c r="E35" s="970">
        <v>181</v>
      </c>
      <c r="F35" s="1057">
        <f t="shared" si="1"/>
        <v>2.6427215651919987E-2</v>
      </c>
      <c r="G35" s="970">
        <v>107</v>
      </c>
      <c r="H35" s="1209">
        <f t="shared" si="2"/>
        <v>0.69158878504672894</v>
      </c>
      <c r="I35" s="1056"/>
      <c r="J35" s="1245"/>
      <c r="K35" s="1245"/>
    </row>
    <row r="36" spans="2:11">
      <c r="B36" s="1208" t="s">
        <v>86</v>
      </c>
      <c r="C36" s="970">
        <v>46</v>
      </c>
      <c r="D36" s="970">
        <v>137</v>
      </c>
      <c r="E36" s="970">
        <v>178</v>
      </c>
      <c r="F36" s="1057">
        <f t="shared" si="1"/>
        <v>2.5989195502993136E-2</v>
      </c>
      <c r="G36" s="970">
        <v>114</v>
      </c>
      <c r="H36" s="1209">
        <f t="shared" si="2"/>
        <v>0.56140350877192979</v>
      </c>
      <c r="I36" s="1056"/>
      <c r="J36" s="1245"/>
      <c r="K36" s="1245"/>
    </row>
    <row r="37" spans="2:11">
      <c r="B37" s="1208" t="s">
        <v>130</v>
      </c>
      <c r="C37" s="970">
        <v>69</v>
      </c>
      <c r="D37" s="970">
        <v>69</v>
      </c>
      <c r="E37" s="970">
        <v>139</v>
      </c>
      <c r="F37" s="1057">
        <f t="shared" si="1"/>
        <v>2.029493356694408E-2</v>
      </c>
      <c r="G37" s="970">
        <v>131</v>
      </c>
      <c r="H37" s="1209">
        <f t="shared" si="2"/>
        <v>6.1068702290076333E-2</v>
      </c>
      <c r="I37" s="1056"/>
      <c r="J37" s="1245"/>
      <c r="K37" s="1245"/>
    </row>
    <row r="38" spans="2:11">
      <c r="B38" s="1208" t="s">
        <v>77</v>
      </c>
      <c r="C38" s="970">
        <v>62</v>
      </c>
      <c r="D38" s="970">
        <v>70</v>
      </c>
      <c r="E38" s="970">
        <v>134</v>
      </c>
      <c r="F38" s="1057">
        <f t="shared" si="1"/>
        <v>1.9564899985399328E-2</v>
      </c>
      <c r="G38" s="970">
        <v>32</v>
      </c>
      <c r="H38" s="1209">
        <f t="shared" si="2"/>
        <v>3.1875</v>
      </c>
      <c r="I38" s="1056"/>
      <c r="J38" s="1243"/>
      <c r="K38" s="1243"/>
    </row>
    <row r="39" spans="2:11">
      <c r="B39" s="1208" t="s">
        <v>368</v>
      </c>
      <c r="C39" s="970">
        <v>63</v>
      </c>
      <c r="D39" s="970">
        <v>66</v>
      </c>
      <c r="E39" s="970">
        <v>129</v>
      </c>
      <c r="F39" s="1057">
        <f t="shared" si="1"/>
        <v>1.8834866403854577E-2</v>
      </c>
      <c r="G39" s="970">
        <v>119</v>
      </c>
      <c r="H39" s="1209">
        <f t="shared" si="2"/>
        <v>8.4033613445378158E-2</v>
      </c>
      <c r="I39" s="1056"/>
      <c r="J39" s="1243"/>
      <c r="K39" s="1243"/>
    </row>
    <row r="40" spans="2:11">
      <c r="B40" s="1208" t="s">
        <v>82</v>
      </c>
      <c r="C40" s="970">
        <v>49</v>
      </c>
      <c r="D40" s="970">
        <v>79</v>
      </c>
      <c r="E40" s="970">
        <v>129</v>
      </c>
      <c r="F40" s="1057">
        <f t="shared" si="1"/>
        <v>1.8834866403854577E-2</v>
      </c>
      <c r="G40" s="970">
        <v>93</v>
      </c>
      <c r="H40" s="1209">
        <f t="shared" si="2"/>
        <v>0.38709677419354838</v>
      </c>
      <c r="I40" s="1056"/>
      <c r="J40" s="1243"/>
      <c r="K40" s="1243"/>
    </row>
    <row r="41" spans="2:11">
      <c r="B41" s="1208" t="s">
        <v>79</v>
      </c>
      <c r="C41" s="970">
        <v>61</v>
      </c>
      <c r="D41" s="970">
        <v>56</v>
      </c>
      <c r="E41" s="970">
        <v>118</v>
      </c>
      <c r="F41" s="1057">
        <f t="shared" si="1"/>
        <v>1.7228792524456124E-2</v>
      </c>
      <c r="G41" s="970">
        <v>125</v>
      </c>
      <c r="H41" s="1209">
        <f t="shared" si="2"/>
        <v>-5.6000000000000001E-2</v>
      </c>
      <c r="I41" s="1056"/>
      <c r="J41" s="1243"/>
      <c r="K41" s="1243"/>
    </row>
    <row r="42" spans="2:11">
      <c r="B42" s="1208" t="s">
        <v>131</v>
      </c>
      <c r="C42" s="970">
        <v>62</v>
      </c>
      <c r="D42" s="970">
        <v>51</v>
      </c>
      <c r="E42" s="970">
        <v>109</v>
      </c>
      <c r="F42" s="1057">
        <f t="shared" si="1"/>
        <v>1.5914732077675572E-2</v>
      </c>
      <c r="G42" s="970">
        <v>109</v>
      </c>
      <c r="H42" s="1209">
        <f t="shared" si="2"/>
        <v>0</v>
      </c>
      <c r="I42" s="1056"/>
      <c r="J42" s="1243"/>
      <c r="K42" s="1243"/>
    </row>
    <row r="43" spans="2:11">
      <c r="B43" s="1208" t="s">
        <v>83</v>
      </c>
      <c r="C43" s="970">
        <v>56</v>
      </c>
      <c r="D43" s="970">
        <v>46</v>
      </c>
      <c r="E43" s="970">
        <v>99</v>
      </c>
      <c r="F43" s="1057">
        <f t="shared" si="1"/>
        <v>1.4454664914586071E-2</v>
      </c>
      <c r="G43" s="970">
        <v>46</v>
      </c>
      <c r="H43" s="1209">
        <f t="shared" si="2"/>
        <v>1.1521739130434783</v>
      </c>
      <c r="I43" s="1056"/>
      <c r="J43" s="1243"/>
      <c r="K43" s="1243"/>
    </row>
    <row r="44" spans="2:11">
      <c r="B44" s="1208" t="s">
        <v>90</v>
      </c>
      <c r="C44" s="970">
        <v>48</v>
      </c>
      <c r="D44" s="970">
        <v>46</v>
      </c>
      <c r="E44" s="970">
        <v>98</v>
      </c>
      <c r="F44" s="1057">
        <f t="shared" si="1"/>
        <v>1.4308658198277121E-2</v>
      </c>
      <c r="G44" s="970">
        <v>79</v>
      </c>
      <c r="H44" s="1209">
        <f t="shared" si="2"/>
        <v>0.24050632911392406</v>
      </c>
      <c r="I44" s="1056"/>
      <c r="J44" s="1243"/>
      <c r="K44" s="1243"/>
    </row>
    <row r="45" spans="2:11" s="956" customFormat="1">
      <c r="B45" s="1208" t="s">
        <v>140</v>
      </c>
      <c r="C45" s="970">
        <v>55</v>
      </c>
      <c r="D45" s="970">
        <v>42</v>
      </c>
      <c r="E45" s="970">
        <v>96</v>
      </c>
      <c r="F45" s="1057">
        <f t="shared" si="1"/>
        <v>1.401664476565922E-2</v>
      </c>
      <c r="G45" s="1058">
        <v>17</v>
      </c>
      <c r="H45" s="1209">
        <f t="shared" si="2"/>
        <v>4.6470588235294121</v>
      </c>
      <c r="I45" s="1059"/>
      <c r="J45" s="1253"/>
      <c r="K45" s="1253"/>
    </row>
    <row r="46" spans="2:11">
      <c r="B46" s="1208" t="s">
        <v>80</v>
      </c>
      <c r="C46" s="970">
        <v>49</v>
      </c>
      <c r="D46" s="970">
        <v>47</v>
      </c>
      <c r="E46" s="970">
        <v>92</v>
      </c>
      <c r="F46" s="1057">
        <f t="shared" si="1"/>
        <v>1.3432617900423419E-2</v>
      </c>
      <c r="G46" s="970">
        <v>65</v>
      </c>
      <c r="H46" s="1209">
        <f t="shared" si="2"/>
        <v>0.41538461538461541</v>
      </c>
      <c r="I46" s="1056"/>
      <c r="J46" s="1243"/>
      <c r="K46" s="1243"/>
    </row>
    <row r="47" spans="2:11">
      <c r="B47" s="1208" t="s">
        <v>399</v>
      </c>
      <c r="C47" s="970">
        <v>45</v>
      </c>
      <c r="D47" s="970">
        <v>45</v>
      </c>
      <c r="E47" s="970">
        <v>91</v>
      </c>
      <c r="F47" s="1057">
        <f t="shared" si="1"/>
        <v>1.3286611184114469E-2</v>
      </c>
      <c r="G47" s="970">
        <v>56</v>
      </c>
      <c r="H47" s="1209">
        <f t="shared" si="2"/>
        <v>0.625</v>
      </c>
      <c r="I47" s="1056"/>
      <c r="J47" s="1243"/>
      <c r="K47" s="1243"/>
    </row>
    <row r="48" spans="2:11">
      <c r="B48" s="1208" t="s">
        <v>74</v>
      </c>
      <c r="C48" s="970">
        <v>38</v>
      </c>
      <c r="D48" s="970">
        <v>48</v>
      </c>
      <c r="E48" s="970">
        <v>90</v>
      </c>
      <c r="F48" s="1057">
        <f t="shared" si="1"/>
        <v>1.3140604467805518E-2</v>
      </c>
      <c r="G48" s="970">
        <v>56</v>
      </c>
      <c r="H48" s="1209">
        <f t="shared" si="2"/>
        <v>0.6071428571428571</v>
      </c>
      <c r="I48" s="1056"/>
      <c r="J48" s="1243"/>
      <c r="K48" s="1243"/>
    </row>
    <row r="49" spans="2:11">
      <c r="B49" s="1208" t="s">
        <v>126</v>
      </c>
      <c r="C49" s="970">
        <v>47</v>
      </c>
      <c r="D49" s="970">
        <v>38</v>
      </c>
      <c r="E49" s="970">
        <v>81</v>
      </c>
      <c r="F49" s="1057">
        <f t="shared" si="1"/>
        <v>1.1826544021024968E-2</v>
      </c>
      <c r="G49" s="970">
        <v>45</v>
      </c>
      <c r="H49" s="1209">
        <f t="shared" si="2"/>
        <v>0.8</v>
      </c>
      <c r="I49" s="1056"/>
      <c r="J49" s="1243"/>
      <c r="K49" s="1243"/>
    </row>
    <row r="50" spans="2:11">
      <c r="B50" s="1208" t="s">
        <v>141</v>
      </c>
      <c r="C50" s="970">
        <v>21</v>
      </c>
      <c r="D50" s="970">
        <v>48</v>
      </c>
      <c r="E50" s="970">
        <v>67</v>
      </c>
      <c r="F50" s="1057">
        <f t="shared" si="1"/>
        <v>9.7824499926996641E-3</v>
      </c>
      <c r="G50" s="970">
        <v>46</v>
      </c>
      <c r="H50" s="1209">
        <f t="shared" si="2"/>
        <v>0.45652173913043476</v>
      </c>
      <c r="I50" s="1056"/>
      <c r="J50" s="1243"/>
      <c r="K50" s="1243"/>
    </row>
    <row r="51" spans="2:11">
      <c r="B51" s="1208" t="s">
        <v>400</v>
      </c>
      <c r="C51" s="970">
        <v>37</v>
      </c>
      <c r="D51" s="970">
        <v>30</v>
      </c>
      <c r="E51" s="970">
        <v>66</v>
      </c>
      <c r="F51" s="1057">
        <f t="shared" si="1"/>
        <v>9.6364432763907139E-3</v>
      </c>
      <c r="G51" s="970">
        <v>21</v>
      </c>
      <c r="H51" s="1209">
        <f t="shared" si="2"/>
        <v>2.1428571428571428</v>
      </c>
      <c r="I51" s="1056"/>
      <c r="J51" s="1243"/>
      <c r="K51" s="1243"/>
    </row>
    <row r="52" spans="2:11">
      <c r="B52" s="1208" t="s">
        <v>428</v>
      </c>
      <c r="C52" s="970">
        <v>24</v>
      </c>
      <c r="D52" s="970">
        <v>40</v>
      </c>
      <c r="E52" s="970">
        <v>65</v>
      </c>
      <c r="F52" s="1057">
        <f t="shared" si="1"/>
        <v>9.4904365600817636E-3</v>
      </c>
      <c r="G52" s="970">
        <v>42</v>
      </c>
      <c r="H52" s="1209">
        <f t="shared" si="2"/>
        <v>0.54761904761904767</v>
      </c>
      <c r="I52" s="1056"/>
      <c r="J52" s="1243"/>
      <c r="K52" s="1243"/>
    </row>
    <row r="53" spans="2:11" s="956" customFormat="1">
      <c r="B53" s="1208" t="s">
        <v>93</v>
      </c>
      <c r="C53" s="970">
        <v>29</v>
      </c>
      <c r="D53" s="970">
        <v>31</v>
      </c>
      <c r="E53" s="970">
        <v>57</v>
      </c>
      <c r="F53" s="1057">
        <f t="shared" si="1"/>
        <v>8.3223828296101615E-3</v>
      </c>
      <c r="G53" s="1058">
        <v>10</v>
      </c>
      <c r="H53" s="1209">
        <f t="shared" si="2"/>
        <v>4.7</v>
      </c>
      <c r="I53" s="1059"/>
      <c r="J53" s="1253"/>
      <c r="K53" s="1253"/>
    </row>
    <row r="54" spans="2:11">
      <c r="B54" s="1208" t="s">
        <v>81</v>
      </c>
      <c r="C54" s="970">
        <v>25</v>
      </c>
      <c r="D54" s="970">
        <v>34</v>
      </c>
      <c r="E54" s="970">
        <v>57</v>
      </c>
      <c r="F54" s="1057">
        <f t="shared" si="1"/>
        <v>8.3223828296101615E-3</v>
      </c>
      <c r="G54" s="970">
        <v>26</v>
      </c>
      <c r="H54" s="1209">
        <f t="shared" si="2"/>
        <v>1.1923076923076923</v>
      </c>
      <c r="I54" s="1056"/>
      <c r="J54" s="1243"/>
      <c r="K54" s="1243"/>
    </row>
    <row r="55" spans="2:11">
      <c r="B55" s="1208" t="s">
        <v>84</v>
      </c>
      <c r="C55" s="970">
        <v>24</v>
      </c>
      <c r="D55" s="970">
        <v>27</v>
      </c>
      <c r="E55" s="970">
        <v>51</v>
      </c>
      <c r="F55" s="1057">
        <f t="shared" si="1"/>
        <v>7.4463425317564608E-3</v>
      </c>
      <c r="G55" s="970">
        <v>49</v>
      </c>
      <c r="H55" s="1209">
        <f t="shared" si="2"/>
        <v>4.0816326530612242E-2</v>
      </c>
      <c r="I55" s="1056"/>
      <c r="J55" s="1243"/>
      <c r="K55" s="1243"/>
    </row>
    <row r="56" spans="2:11" s="961" customFormat="1">
      <c r="B56" s="731" t="s">
        <v>369</v>
      </c>
      <c r="C56" s="900">
        <v>440</v>
      </c>
      <c r="D56" s="900">
        <v>508</v>
      </c>
      <c r="E56" s="900">
        <v>955</v>
      </c>
      <c r="F56" s="1060">
        <v>0.13943641407504745</v>
      </c>
      <c r="G56" s="900">
        <v>553</v>
      </c>
      <c r="H56" s="965">
        <v>0.72694394213381552</v>
      </c>
      <c r="I56" s="1061"/>
      <c r="J56" s="1062"/>
      <c r="K56" s="1062"/>
    </row>
    <row r="57" spans="2:11">
      <c r="B57" s="738" t="s">
        <v>21</v>
      </c>
      <c r="C57" s="1210">
        <v>3240</v>
      </c>
      <c r="D57" s="1210">
        <v>3614</v>
      </c>
      <c r="E57" s="1210">
        <v>6849</v>
      </c>
      <c r="F57" s="1211">
        <v>1</v>
      </c>
      <c r="G57" s="1210">
        <v>4215</v>
      </c>
      <c r="H57" s="969">
        <v>0.62491103202846976</v>
      </c>
      <c r="I57" s="1056"/>
      <c r="J57" s="1063"/>
      <c r="K57" s="1063"/>
    </row>
    <row r="58" spans="2:11" s="329" customFormat="1" ht="12.75">
      <c r="B58" s="349" t="s">
        <v>366</v>
      </c>
    </row>
    <row r="59" spans="2:11" s="329" customFormat="1" ht="12.75">
      <c r="B59" s="349"/>
    </row>
    <row r="60" spans="2:11" ht="23.25">
      <c r="B60" s="127" t="s">
        <v>745</v>
      </c>
      <c r="C60" s="970"/>
      <c r="D60" s="970"/>
      <c r="E60" s="970"/>
      <c r="F60" s="1057"/>
      <c r="G60" s="970"/>
      <c r="H60" s="1057"/>
      <c r="I60" s="1056"/>
      <c r="J60" s="1063"/>
      <c r="K60" s="1063"/>
    </row>
    <row r="61" spans="2:11">
      <c r="B61" s="744" t="s">
        <v>850</v>
      </c>
      <c r="C61" s="895"/>
      <c r="D61" s="895"/>
      <c r="E61" s="895"/>
      <c r="F61" s="1008"/>
      <c r="G61" s="895"/>
      <c r="H61" s="1008"/>
      <c r="I61" s="1056"/>
      <c r="J61" s="1063"/>
      <c r="K61" s="1063"/>
    </row>
    <row r="62" spans="2:11">
      <c r="B62" s="745" t="s">
        <v>843</v>
      </c>
      <c r="C62" s="895"/>
      <c r="D62" s="895"/>
      <c r="E62" s="895"/>
      <c r="F62" s="1008"/>
      <c r="G62" s="895"/>
      <c r="H62" s="1008"/>
      <c r="I62" s="1056"/>
      <c r="J62" s="1063"/>
      <c r="K62" s="1063"/>
    </row>
    <row r="63" spans="2:11">
      <c r="B63" s="1064" t="s">
        <v>14</v>
      </c>
      <c r="C63" s="858" t="s">
        <v>23</v>
      </c>
      <c r="D63" s="858" t="s">
        <v>24</v>
      </c>
      <c r="E63" s="858" t="s">
        <v>25</v>
      </c>
      <c r="F63" s="858" t="s">
        <v>26</v>
      </c>
      <c r="G63" s="858" t="s">
        <v>27</v>
      </c>
      <c r="H63" s="858" t="s">
        <v>28</v>
      </c>
      <c r="I63" s="1056"/>
    </row>
    <row r="64" spans="2:11">
      <c r="B64" s="378" t="s">
        <v>76</v>
      </c>
      <c r="C64" s="870">
        <v>229</v>
      </c>
      <c r="D64" s="870">
        <v>189</v>
      </c>
      <c r="E64" s="870">
        <v>602</v>
      </c>
      <c r="F64" s="870">
        <v>288</v>
      </c>
      <c r="G64" s="870">
        <v>53</v>
      </c>
      <c r="H64" s="870">
        <v>1362</v>
      </c>
      <c r="I64" s="1065"/>
    </row>
    <row r="65" spans="2:9">
      <c r="B65" s="381" t="s">
        <v>92</v>
      </c>
      <c r="C65" s="874">
        <v>62</v>
      </c>
      <c r="D65" s="874">
        <v>58</v>
      </c>
      <c r="E65" s="874">
        <v>234</v>
      </c>
      <c r="F65" s="874">
        <v>359</v>
      </c>
      <c r="G65" s="874">
        <v>143</v>
      </c>
      <c r="H65" s="874">
        <v>846</v>
      </c>
      <c r="I65" s="1065"/>
    </row>
    <row r="66" spans="2:9">
      <c r="B66" s="381" t="s">
        <v>73</v>
      </c>
      <c r="C66" s="874">
        <v>83</v>
      </c>
      <c r="D66" s="874">
        <v>91</v>
      </c>
      <c r="E66" s="874">
        <v>316</v>
      </c>
      <c r="F66" s="874">
        <v>298</v>
      </c>
      <c r="G66" s="874">
        <v>37</v>
      </c>
      <c r="H66" s="874">
        <v>825</v>
      </c>
      <c r="I66" s="1065"/>
    </row>
    <row r="67" spans="2:9">
      <c r="B67" s="381" t="s">
        <v>75</v>
      </c>
      <c r="C67" s="874">
        <v>72</v>
      </c>
      <c r="D67" s="874">
        <v>45</v>
      </c>
      <c r="E67" s="874">
        <v>347</v>
      </c>
      <c r="F67" s="874">
        <v>58</v>
      </c>
      <c r="G67" s="874">
        <v>14</v>
      </c>
      <c r="H67" s="874">
        <v>538</v>
      </c>
      <c r="I67" s="1065"/>
    </row>
    <row r="68" spans="2:9">
      <c r="B68" s="381" t="s">
        <v>78</v>
      </c>
      <c r="C68" s="874">
        <v>22</v>
      </c>
      <c r="D68" s="874">
        <v>34</v>
      </c>
      <c r="E68" s="874">
        <v>77</v>
      </c>
      <c r="F68" s="874">
        <v>52</v>
      </c>
      <c r="G68" s="874">
        <v>5</v>
      </c>
      <c r="H68" s="874">
        <v>196</v>
      </c>
      <c r="I68" s="1065"/>
    </row>
    <row r="69" spans="2:9" ht="15" customHeight="1">
      <c r="B69" s="381" t="s">
        <v>91</v>
      </c>
      <c r="C69" s="874">
        <v>21</v>
      </c>
      <c r="D69" s="874">
        <v>14</v>
      </c>
      <c r="E69" s="874">
        <v>87</v>
      </c>
      <c r="F69" s="874">
        <v>47</v>
      </c>
      <c r="G69" s="874">
        <v>10</v>
      </c>
      <c r="H69" s="874">
        <v>181</v>
      </c>
      <c r="I69" s="1065"/>
    </row>
    <row r="70" spans="2:9">
      <c r="B70" s="381" t="s">
        <v>86</v>
      </c>
      <c r="C70" s="874">
        <v>24</v>
      </c>
      <c r="D70" s="874">
        <v>23</v>
      </c>
      <c r="E70" s="874">
        <v>78</v>
      </c>
      <c r="F70" s="874">
        <v>51</v>
      </c>
      <c r="G70" s="874">
        <v>5</v>
      </c>
      <c r="H70" s="874">
        <v>178</v>
      </c>
      <c r="I70" s="1065"/>
    </row>
    <row r="71" spans="2:9">
      <c r="B71" s="381" t="s">
        <v>130</v>
      </c>
      <c r="C71" s="874">
        <v>15</v>
      </c>
      <c r="D71" s="874">
        <v>14</v>
      </c>
      <c r="E71" s="874">
        <v>52</v>
      </c>
      <c r="F71" s="874">
        <v>52</v>
      </c>
      <c r="G71" s="874">
        <v>9</v>
      </c>
      <c r="H71" s="874">
        <v>139</v>
      </c>
      <c r="I71" s="1065"/>
    </row>
    <row r="72" spans="2:9">
      <c r="B72" s="381" t="s">
        <v>77</v>
      </c>
      <c r="C72" s="874">
        <v>17</v>
      </c>
      <c r="D72" s="874">
        <v>16</v>
      </c>
      <c r="E72" s="874">
        <v>76</v>
      </c>
      <c r="F72" s="874">
        <v>21</v>
      </c>
      <c r="G72" s="874">
        <v>3</v>
      </c>
      <c r="H72" s="874">
        <v>134</v>
      </c>
      <c r="I72" s="1065"/>
    </row>
    <row r="73" spans="2:9">
      <c r="B73" s="381" t="s">
        <v>368</v>
      </c>
      <c r="C73" s="874">
        <v>8</v>
      </c>
      <c r="D73" s="874">
        <v>0</v>
      </c>
      <c r="E73" s="874">
        <v>52</v>
      </c>
      <c r="F73" s="874">
        <v>49</v>
      </c>
      <c r="G73" s="874">
        <v>18</v>
      </c>
      <c r="H73" s="874">
        <v>129</v>
      </c>
      <c r="I73" s="1065"/>
    </row>
    <row r="74" spans="2:9">
      <c r="B74" s="756" t="s">
        <v>29</v>
      </c>
      <c r="C74" s="1032">
        <v>7261</v>
      </c>
      <c r="D74" s="1032">
        <v>3565</v>
      </c>
      <c r="E74" s="1032">
        <v>8121</v>
      </c>
      <c r="F74" s="1032">
        <v>4045</v>
      </c>
      <c r="G74" s="1032">
        <v>856</v>
      </c>
      <c r="H74" s="1033">
        <v>23846</v>
      </c>
      <c r="I74" s="1008"/>
    </row>
    <row r="75" spans="2:9">
      <c r="B75" s="759" t="s">
        <v>370</v>
      </c>
      <c r="C75" s="1032">
        <v>215</v>
      </c>
      <c r="D75" s="1032">
        <v>205</v>
      </c>
      <c r="E75" s="1032">
        <v>796</v>
      </c>
      <c r="F75" s="1032">
        <v>819</v>
      </c>
      <c r="G75" s="1032">
        <v>238</v>
      </c>
      <c r="H75" s="1033">
        <v>2270</v>
      </c>
      <c r="I75" s="1008"/>
    </row>
    <row r="76" spans="2:9">
      <c r="B76" s="760" t="s">
        <v>31</v>
      </c>
      <c r="C76" s="1035">
        <v>558</v>
      </c>
      <c r="D76" s="1035">
        <v>470</v>
      </c>
      <c r="E76" s="1035">
        <v>2216</v>
      </c>
      <c r="F76" s="1035">
        <v>1055</v>
      </c>
      <c r="G76" s="1035">
        <v>265</v>
      </c>
      <c r="H76" s="1036">
        <v>4567</v>
      </c>
      <c r="I76" s="1008"/>
    </row>
    <row r="77" spans="2:9">
      <c r="B77" s="702" t="s">
        <v>28</v>
      </c>
      <c r="C77" s="763">
        <v>14544</v>
      </c>
      <c r="D77" s="763">
        <v>9437</v>
      </c>
      <c r="E77" s="763">
        <v>28580</v>
      </c>
      <c r="F77" s="763">
        <v>19156</v>
      </c>
      <c r="G77" s="763">
        <v>7071</v>
      </c>
      <c r="H77" s="717"/>
      <c r="I77" s="1008"/>
    </row>
    <row r="78" spans="2:9" ht="23.25">
      <c r="B78" s="127" t="s">
        <v>747</v>
      </c>
      <c r="C78" s="328"/>
      <c r="D78" s="328"/>
      <c r="E78" s="328"/>
      <c r="F78" s="328"/>
      <c r="G78" s="328"/>
      <c r="H78" s="328"/>
      <c r="I78" s="1008"/>
    </row>
    <row r="79" spans="2:9" ht="15.75">
      <c r="B79" s="744" t="s">
        <v>833</v>
      </c>
      <c r="C79" s="328"/>
      <c r="D79" s="328"/>
      <c r="E79" s="328"/>
      <c r="F79" s="328"/>
      <c r="G79" s="328"/>
      <c r="H79" s="328"/>
      <c r="I79" s="1008"/>
    </row>
    <row r="80" spans="2:9" ht="15.75">
      <c r="B80" s="745" t="s">
        <v>843</v>
      </c>
      <c r="C80" s="328"/>
      <c r="D80" s="328"/>
      <c r="E80" s="328"/>
      <c r="F80" s="328"/>
      <c r="G80" s="328"/>
      <c r="H80" s="328"/>
      <c r="I80" s="1008"/>
    </row>
    <row r="81" spans="2:10">
      <c r="B81" s="706" t="s">
        <v>14</v>
      </c>
      <c r="C81" s="707" t="s">
        <v>23</v>
      </c>
      <c r="D81" s="707" t="s">
        <v>24</v>
      </c>
      <c r="E81" s="707" t="s">
        <v>25</v>
      </c>
      <c r="F81" s="707" t="s">
        <v>26</v>
      </c>
      <c r="G81" s="707" t="s">
        <v>27</v>
      </c>
      <c r="H81" s="707" t="s">
        <v>28</v>
      </c>
      <c r="I81" s="1008"/>
    </row>
    <row r="82" spans="2:10">
      <c r="B82" s="378" t="s">
        <v>76</v>
      </c>
      <c r="C82" s="974">
        <v>0.16813509544787078</v>
      </c>
      <c r="D82" s="974">
        <v>0.13876651982378854</v>
      </c>
      <c r="E82" s="974">
        <v>0.44199706314243759</v>
      </c>
      <c r="F82" s="974">
        <v>0.21145374449339208</v>
      </c>
      <c r="G82" s="974">
        <v>3.8913362701908955E-2</v>
      </c>
      <c r="H82" s="870">
        <v>1362</v>
      </c>
      <c r="I82" s="1008"/>
    </row>
    <row r="83" spans="2:10">
      <c r="B83" s="381" t="s">
        <v>92</v>
      </c>
      <c r="C83" s="975">
        <v>7.328605200945626E-2</v>
      </c>
      <c r="D83" s="975">
        <v>6.8557919621749411E-2</v>
      </c>
      <c r="E83" s="975">
        <v>0.27659574468085107</v>
      </c>
      <c r="F83" s="975">
        <v>0.42434988179669031</v>
      </c>
      <c r="G83" s="975">
        <v>0.16903073286052009</v>
      </c>
      <c r="H83" s="874">
        <v>846</v>
      </c>
      <c r="I83" s="1008"/>
    </row>
    <row r="84" spans="2:10">
      <c r="B84" s="381" t="s">
        <v>73</v>
      </c>
      <c r="C84" s="975">
        <v>0.1006060606060606</v>
      </c>
      <c r="D84" s="975">
        <v>0.11030303030303031</v>
      </c>
      <c r="E84" s="975">
        <v>0.38303030303030305</v>
      </c>
      <c r="F84" s="975">
        <v>0.36121212121212121</v>
      </c>
      <c r="G84" s="975">
        <v>4.4848484848484846E-2</v>
      </c>
      <c r="H84" s="874">
        <v>825</v>
      </c>
      <c r="I84" s="1008"/>
    </row>
    <row r="85" spans="2:10">
      <c r="B85" s="381" t="s">
        <v>75</v>
      </c>
      <c r="C85" s="975">
        <v>0.13382899628252787</v>
      </c>
      <c r="D85" s="975">
        <v>8.3643122676579931E-2</v>
      </c>
      <c r="E85" s="975">
        <v>0.64498141263940523</v>
      </c>
      <c r="F85" s="975">
        <v>0.10780669144981413</v>
      </c>
      <c r="G85" s="975">
        <v>2.6022304832713755E-2</v>
      </c>
      <c r="H85" s="874">
        <v>538</v>
      </c>
      <c r="I85" s="1008"/>
    </row>
    <row r="86" spans="2:10">
      <c r="B86" s="381" t="s">
        <v>78</v>
      </c>
      <c r="C86" s="975">
        <v>0.11224489795918367</v>
      </c>
      <c r="D86" s="975">
        <v>0.17346938775510204</v>
      </c>
      <c r="E86" s="975">
        <v>0.39285714285714285</v>
      </c>
      <c r="F86" s="975">
        <v>0.26530612244897961</v>
      </c>
      <c r="G86" s="975">
        <v>2.5510204081632654E-2</v>
      </c>
      <c r="H86" s="874">
        <v>196</v>
      </c>
      <c r="I86" s="1008"/>
    </row>
    <row r="87" spans="2:10">
      <c r="B87" s="381" t="s">
        <v>91</v>
      </c>
      <c r="C87" s="975">
        <v>0.11602209944751381</v>
      </c>
      <c r="D87" s="975">
        <v>7.7348066298342538E-2</v>
      </c>
      <c r="E87" s="975">
        <v>0.48066298342541436</v>
      </c>
      <c r="F87" s="975">
        <v>0.25966850828729282</v>
      </c>
      <c r="G87" s="975">
        <v>5.5248618784530384E-2</v>
      </c>
      <c r="H87" s="874">
        <v>181</v>
      </c>
      <c r="I87" s="1008"/>
    </row>
    <row r="88" spans="2:10">
      <c r="B88" s="381" t="s">
        <v>86</v>
      </c>
      <c r="C88" s="975">
        <v>0.1348314606741573</v>
      </c>
      <c r="D88" s="975">
        <v>0.12921348314606743</v>
      </c>
      <c r="E88" s="975">
        <v>0.43820224719101125</v>
      </c>
      <c r="F88" s="975">
        <v>0.28651685393258425</v>
      </c>
      <c r="G88" s="975">
        <v>2.8089887640449437E-2</v>
      </c>
      <c r="H88" s="874">
        <v>178</v>
      </c>
    </row>
    <row r="89" spans="2:10">
      <c r="B89" s="381" t="s">
        <v>130</v>
      </c>
      <c r="C89" s="975">
        <v>0.1079136690647482</v>
      </c>
      <c r="D89" s="975">
        <v>0.10071942446043165</v>
      </c>
      <c r="E89" s="975">
        <v>0.37410071942446044</v>
      </c>
      <c r="F89" s="975">
        <v>0.37410071942446044</v>
      </c>
      <c r="G89" s="975">
        <v>6.4748201438848921E-2</v>
      </c>
      <c r="H89" s="874">
        <v>139</v>
      </c>
    </row>
    <row r="90" spans="2:10">
      <c r="B90" s="381" t="s">
        <v>77</v>
      </c>
      <c r="C90" s="975">
        <v>0.12686567164179105</v>
      </c>
      <c r="D90" s="975">
        <v>0.11940298507462686</v>
      </c>
      <c r="E90" s="975">
        <v>0.56716417910447758</v>
      </c>
      <c r="F90" s="975">
        <v>0.15671641791044777</v>
      </c>
      <c r="G90" s="975">
        <v>2.2388059701492536E-2</v>
      </c>
      <c r="H90" s="874">
        <v>134</v>
      </c>
    </row>
    <row r="91" spans="2:10">
      <c r="B91" s="381" t="s">
        <v>368</v>
      </c>
      <c r="C91" s="975">
        <v>6.2015503875968991E-2</v>
      </c>
      <c r="D91" s="975">
        <v>0</v>
      </c>
      <c r="E91" s="975">
        <v>0.40310077519379844</v>
      </c>
      <c r="F91" s="975">
        <v>0.37984496124031009</v>
      </c>
      <c r="G91" s="975">
        <v>0.13953488372093023</v>
      </c>
      <c r="H91" s="874">
        <v>129</v>
      </c>
    </row>
    <row r="92" spans="2:10">
      <c r="B92" s="759" t="s">
        <v>29</v>
      </c>
      <c r="C92" s="976">
        <v>0.30449551287427662</v>
      </c>
      <c r="D92" s="976">
        <v>0.14950096452235176</v>
      </c>
      <c r="E92" s="976">
        <v>0.34056026167910763</v>
      </c>
      <c r="F92" s="976">
        <v>0.16963012664597837</v>
      </c>
      <c r="G92" s="976">
        <v>3.5897005787134111E-2</v>
      </c>
      <c r="H92" s="1033">
        <v>23846</v>
      </c>
    </row>
    <row r="93" spans="2:10" ht="15.75">
      <c r="B93" s="759" t="s">
        <v>370</v>
      </c>
      <c r="C93" s="976">
        <v>9.4713656387665199E-2</v>
      </c>
      <c r="D93" s="976">
        <v>9.0308370044052858E-2</v>
      </c>
      <c r="E93" s="976">
        <v>0.35066079295154184</v>
      </c>
      <c r="F93" s="976">
        <v>0.3607929515418502</v>
      </c>
      <c r="G93" s="976">
        <v>0.10484581497797357</v>
      </c>
      <c r="H93" s="1033">
        <v>2270</v>
      </c>
      <c r="I93" s="328"/>
    </row>
    <row r="94" spans="2:10" ht="15.75">
      <c r="B94" s="760" t="s">
        <v>31</v>
      </c>
      <c r="C94" s="977">
        <v>0.12218086271075104</v>
      </c>
      <c r="D94" s="977">
        <v>0.10291219619005912</v>
      </c>
      <c r="E94" s="977">
        <v>0.48522005693015108</v>
      </c>
      <c r="F94" s="977">
        <v>0.23100503612874973</v>
      </c>
      <c r="G94" s="977">
        <v>5.8024961681629079E-2</v>
      </c>
      <c r="H94" s="1036">
        <v>4567</v>
      </c>
      <c r="I94" s="328"/>
    </row>
    <row r="96" spans="2:10" ht="23.25">
      <c r="B96" s="127" t="s">
        <v>746</v>
      </c>
      <c r="C96" s="1066"/>
      <c r="D96" s="1066"/>
      <c r="E96" s="1066"/>
      <c r="F96" s="1066"/>
      <c r="G96" s="1066"/>
      <c r="H96" s="1066"/>
      <c r="I96" s="1066"/>
      <c r="J96" s="1066"/>
    </row>
    <row r="97" spans="2:14" ht="15.75">
      <c r="B97" s="778" t="s">
        <v>852</v>
      </c>
      <c r="C97" s="328"/>
      <c r="D97" s="328"/>
      <c r="E97" s="328"/>
      <c r="F97" s="328"/>
      <c r="G97" s="328"/>
      <c r="H97" s="328"/>
      <c r="I97" s="328"/>
    </row>
    <row r="98" spans="2:14" ht="15.75">
      <c r="B98" s="745" t="s">
        <v>845</v>
      </c>
      <c r="C98" s="328"/>
      <c r="D98" s="328"/>
      <c r="E98" s="328"/>
      <c r="F98" s="328"/>
      <c r="G98" s="328"/>
      <c r="H98" s="328"/>
      <c r="I98" s="328"/>
    </row>
    <row r="99" spans="2:14">
      <c r="B99" s="1067" t="s">
        <v>14</v>
      </c>
      <c r="C99" s="707" t="s">
        <v>32</v>
      </c>
      <c r="D99" s="707" t="s">
        <v>33</v>
      </c>
      <c r="E99" s="707" t="s">
        <v>34</v>
      </c>
      <c r="F99" s="707" t="s">
        <v>403</v>
      </c>
      <c r="G99" s="707" t="s">
        <v>404</v>
      </c>
      <c r="H99" s="707" t="s">
        <v>635</v>
      </c>
      <c r="I99" s="707" t="s">
        <v>28</v>
      </c>
    </row>
    <row r="100" spans="2:14" ht="15" customHeight="1">
      <c r="B100" s="378" t="s">
        <v>76</v>
      </c>
      <c r="C100" s="870">
        <v>86</v>
      </c>
      <c r="D100" s="870">
        <v>128</v>
      </c>
      <c r="E100" s="870">
        <v>109</v>
      </c>
      <c r="F100" s="870">
        <v>477</v>
      </c>
      <c r="G100" s="870">
        <v>452</v>
      </c>
      <c r="H100" s="870">
        <v>56</v>
      </c>
      <c r="I100" s="870">
        <v>1362</v>
      </c>
    </row>
    <row r="101" spans="2:14" ht="15" customHeight="1">
      <c r="B101" s="381" t="s">
        <v>92</v>
      </c>
      <c r="C101" s="874">
        <v>400</v>
      </c>
      <c r="D101" s="874">
        <v>55</v>
      </c>
      <c r="E101" s="874">
        <v>86</v>
      </c>
      <c r="F101" s="874">
        <v>116</v>
      </c>
      <c r="G101" s="874">
        <v>143</v>
      </c>
      <c r="H101" s="874">
        <v>20</v>
      </c>
      <c r="I101" s="874">
        <v>846</v>
      </c>
    </row>
    <row r="102" spans="2:14" ht="15" customHeight="1">
      <c r="B102" s="381" t="s">
        <v>73</v>
      </c>
      <c r="C102" s="874">
        <v>171</v>
      </c>
      <c r="D102" s="874">
        <v>147</v>
      </c>
      <c r="E102" s="874">
        <v>147</v>
      </c>
      <c r="F102" s="874">
        <v>126</v>
      </c>
      <c r="G102" s="874">
        <v>193</v>
      </c>
      <c r="H102" s="874">
        <v>10</v>
      </c>
      <c r="I102" s="874">
        <v>825</v>
      </c>
    </row>
    <row r="103" spans="2:14" ht="15" customHeight="1">
      <c r="B103" s="381" t="s">
        <v>75</v>
      </c>
      <c r="C103" s="874">
        <v>16</v>
      </c>
      <c r="D103" s="874">
        <v>5</v>
      </c>
      <c r="E103" s="874">
        <v>72</v>
      </c>
      <c r="F103" s="874">
        <v>257</v>
      </c>
      <c r="G103" s="874">
        <v>146</v>
      </c>
      <c r="H103" s="874">
        <v>28</v>
      </c>
      <c r="I103" s="874">
        <v>538</v>
      </c>
    </row>
    <row r="104" spans="2:14" ht="15" customHeight="1">
      <c r="B104" s="381" t="s">
        <v>78</v>
      </c>
      <c r="C104" s="874">
        <v>4</v>
      </c>
      <c r="D104" s="874">
        <v>11</v>
      </c>
      <c r="E104" s="874">
        <v>54</v>
      </c>
      <c r="F104" s="874">
        <v>55</v>
      </c>
      <c r="G104" s="874">
        <v>60</v>
      </c>
      <c r="H104" s="874">
        <v>4</v>
      </c>
      <c r="I104" s="874">
        <v>196</v>
      </c>
    </row>
    <row r="105" spans="2:14" ht="15" customHeight="1">
      <c r="B105" s="381" t="s">
        <v>91</v>
      </c>
      <c r="C105" s="874">
        <v>17</v>
      </c>
      <c r="D105" s="874">
        <v>32</v>
      </c>
      <c r="E105" s="874">
        <v>29</v>
      </c>
      <c r="F105" s="874">
        <v>45</v>
      </c>
      <c r="G105" s="874">
        <v>26</v>
      </c>
      <c r="H105" s="874">
        <v>30</v>
      </c>
      <c r="I105" s="874">
        <v>181</v>
      </c>
    </row>
    <row r="106" spans="2:14" ht="15" customHeight="1">
      <c r="B106" s="381" t="s">
        <v>86</v>
      </c>
      <c r="C106" s="874">
        <v>15</v>
      </c>
      <c r="D106" s="874">
        <v>30</v>
      </c>
      <c r="E106" s="874">
        <v>31</v>
      </c>
      <c r="F106" s="874">
        <v>43</v>
      </c>
      <c r="G106" s="874">
        <v>49</v>
      </c>
      <c r="H106" s="874">
        <v>0</v>
      </c>
      <c r="I106" s="874">
        <v>178</v>
      </c>
      <c r="K106" s="328"/>
      <c r="L106" s="328"/>
      <c r="M106" s="328"/>
      <c r="N106" s="328"/>
    </row>
    <row r="107" spans="2:14" ht="15" customHeight="1">
      <c r="B107" s="381" t="s">
        <v>130</v>
      </c>
      <c r="C107" s="874">
        <v>63</v>
      </c>
      <c r="D107" s="874">
        <v>22</v>
      </c>
      <c r="E107" s="874">
        <v>25</v>
      </c>
      <c r="F107" s="874">
        <v>14</v>
      </c>
      <c r="G107" s="874">
        <v>15</v>
      </c>
      <c r="H107" s="874">
        <v>0</v>
      </c>
      <c r="I107" s="874">
        <v>139</v>
      </c>
      <c r="K107" s="328"/>
      <c r="L107" s="328"/>
      <c r="M107" s="328"/>
      <c r="N107" s="328"/>
    </row>
    <row r="108" spans="2:14" ht="15" customHeight="1">
      <c r="B108" s="381" t="s">
        <v>77</v>
      </c>
      <c r="C108" s="874">
        <v>9</v>
      </c>
      <c r="D108" s="874">
        <v>0</v>
      </c>
      <c r="E108" s="874">
        <v>26</v>
      </c>
      <c r="F108" s="874">
        <v>52</v>
      </c>
      <c r="G108" s="874">
        <v>37</v>
      </c>
      <c r="H108" s="874">
        <v>0</v>
      </c>
      <c r="I108" s="874">
        <v>134</v>
      </c>
      <c r="K108" s="328"/>
      <c r="L108" s="328"/>
      <c r="M108" s="328"/>
      <c r="N108" s="328"/>
    </row>
    <row r="109" spans="2:14" ht="15" customHeight="1">
      <c r="B109" s="381" t="s">
        <v>368</v>
      </c>
      <c r="C109" s="874">
        <v>66</v>
      </c>
      <c r="D109" s="874">
        <v>24</v>
      </c>
      <c r="E109" s="874">
        <v>9</v>
      </c>
      <c r="F109" s="874">
        <v>10</v>
      </c>
      <c r="G109" s="874">
        <v>8</v>
      </c>
      <c r="H109" s="874">
        <v>0</v>
      </c>
      <c r="I109" s="874">
        <v>129</v>
      </c>
      <c r="K109" s="328"/>
      <c r="L109" s="328"/>
      <c r="M109" s="328"/>
      <c r="N109" s="328"/>
    </row>
    <row r="110" spans="2:14" ht="15.75">
      <c r="B110" s="783"/>
      <c r="C110" s="784"/>
      <c r="D110" s="784"/>
      <c r="E110" s="784"/>
      <c r="F110" s="783"/>
      <c r="G110" s="784"/>
      <c r="H110" s="784"/>
      <c r="I110" s="328"/>
      <c r="J110" s="328"/>
      <c r="K110" s="328"/>
      <c r="L110" s="328"/>
      <c r="M110" s="328"/>
      <c r="N110" s="328"/>
    </row>
    <row r="111" spans="2:14" ht="23.25">
      <c r="B111" s="127" t="s">
        <v>748</v>
      </c>
      <c r="C111" s="328"/>
      <c r="D111" s="328"/>
      <c r="E111" s="328"/>
      <c r="F111" s="328"/>
      <c r="G111" s="328"/>
      <c r="H111" s="328"/>
      <c r="I111" s="328"/>
      <c r="J111" s="328"/>
      <c r="K111" s="328"/>
      <c r="L111" s="328"/>
      <c r="M111" s="328"/>
      <c r="N111" s="328"/>
    </row>
    <row r="112" spans="2:14" ht="15.75">
      <c r="B112" s="778" t="s">
        <v>851</v>
      </c>
      <c r="C112" s="328"/>
      <c r="D112" s="328"/>
      <c r="E112" s="328"/>
      <c r="F112" s="328"/>
      <c r="G112" s="328"/>
      <c r="H112" s="328"/>
      <c r="I112" s="328"/>
      <c r="J112" s="328"/>
      <c r="K112" s="328"/>
      <c r="L112" s="328"/>
      <c r="M112" s="328"/>
      <c r="N112" s="328"/>
    </row>
    <row r="113" spans="2:20" ht="15.75">
      <c r="B113" s="745" t="s">
        <v>845</v>
      </c>
      <c r="C113" s="328"/>
      <c r="D113" s="328"/>
      <c r="E113" s="328"/>
      <c r="F113" s="328"/>
      <c r="G113" s="328"/>
      <c r="H113" s="328"/>
      <c r="I113" s="328"/>
      <c r="J113" s="783"/>
      <c r="K113" s="785"/>
      <c r="L113" s="785"/>
      <c r="M113" s="785"/>
      <c r="N113" s="785"/>
    </row>
    <row r="114" spans="2:20" ht="15.75">
      <c r="B114" s="947" t="s">
        <v>14</v>
      </c>
      <c r="C114" s="939" t="s">
        <v>32</v>
      </c>
      <c r="D114" s="939" t="s">
        <v>33</v>
      </c>
      <c r="E114" s="939" t="s">
        <v>34</v>
      </c>
      <c r="F114" s="939" t="s">
        <v>403</v>
      </c>
      <c r="G114" s="939" t="s">
        <v>404</v>
      </c>
      <c r="H114" s="939" t="s">
        <v>635</v>
      </c>
      <c r="I114" s="939" t="s">
        <v>28</v>
      </c>
      <c r="J114" s="328"/>
      <c r="K114" s="785"/>
      <c r="L114" s="785"/>
      <c r="M114" s="785"/>
      <c r="N114" s="785"/>
    </row>
    <row r="115" spans="2:20" ht="15.75">
      <c r="B115" s="378" t="s">
        <v>76</v>
      </c>
      <c r="C115" s="980">
        <v>6.3142437591776804E-2</v>
      </c>
      <c r="D115" s="980">
        <v>9.3979441997063137E-2</v>
      </c>
      <c r="E115" s="980">
        <v>8.002936857562408E-2</v>
      </c>
      <c r="F115" s="980">
        <v>0.35022026431718062</v>
      </c>
      <c r="G115" s="980">
        <v>0.33186490455212925</v>
      </c>
      <c r="H115" s="980">
        <v>4.1116005873715125E-2</v>
      </c>
      <c r="I115" s="870">
        <v>1362</v>
      </c>
      <c r="J115" s="790"/>
      <c r="K115" s="785"/>
      <c r="L115" s="785"/>
      <c r="M115" s="785"/>
      <c r="N115" s="785"/>
    </row>
    <row r="116" spans="2:20" ht="15.75">
      <c r="B116" s="381" t="s">
        <v>92</v>
      </c>
      <c r="C116" s="981">
        <v>0.4728132387706856</v>
      </c>
      <c r="D116" s="981">
        <v>6.5011820330969264E-2</v>
      </c>
      <c r="E116" s="981">
        <v>0.10165484633569739</v>
      </c>
      <c r="F116" s="981">
        <v>0.13711583924349882</v>
      </c>
      <c r="G116" s="981">
        <v>0.16903073286052009</v>
      </c>
      <c r="H116" s="981">
        <v>2.3640661938534278E-2</v>
      </c>
      <c r="I116" s="874">
        <v>846</v>
      </c>
      <c r="J116" s="790"/>
      <c r="K116" s="785"/>
      <c r="L116" s="785"/>
      <c r="M116" s="785"/>
      <c r="N116" s="785"/>
    </row>
    <row r="117" spans="2:20" ht="15.75">
      <c r="B117" s="381" t="s">
        <v>73</v>
      </c>
      <c r="C117" s="981">
        <v>0.20727272727272728</v>
      </c>
      <c r="D117" s="981">
        <v>0.17818181818181819</v>
      </c>
      <c r="E117" s="981">
        <v>0.17818181818181819</v>
      </c>
      <c r="F117" s="981">
        <v>0.15272727272727274</v>
      </c>
      <c r="G117" s="981">
        <v>0.23393939393939395</v>
      </c>
      <c r="H117" s="981">
        <v>1.2121212121212121E-2</v>
      </c>
      <c r="I117" s="874">
        <v>825</v>
      </c>
      <c r="J117" s="790"/>
      <c r="K117" s="785"/>
      <c r="L117" s="785"/>
      <c r="M117" s="785"/>
      <c r="N117" s="785"/>
    </row>
    <row r="118" spans="2:20" ht="15.75">
      <c r="B118" s="381" t="s">
        <v>75</v>
      </c>
      <c r="C118" s="981">
        <v>2.9739776951672861E-2</v>
      </c>
      <c r="D118" s="981">
        <v>9.2936802973977699E-3</v>
      </c>
      <c r="E118" s="981">
        <v>0.13382899628252787</v>
      </c>
      <c r="F118" s="981">
        <v>0.47769516728624534</v>
      </c>
      <c r="G118" s="981">
        <v>0.27137546468401486</v>
      </c>
      <c r="H118" s="981">
        <v>5.204460966542751E-2</v>
      </c>
      <c r="I118" s="874">
        <v>538</v>
      </c>
      <c r="J118" s="790"/>
      <c r="K118" s="785"/>
      <c r="L118" s="785"/>
      <c r="M118" s="785"/>
      <c r="N118" s="785"/>
    </row>
    <row r="119" spans="2:20" ht="15.75">
      <c r="B119" s="381" t="s">
        <v>78</v>
      </c>
      <c r="C119" s="981">
        <v>2.0408163265306121E-2</v>
      </c>
      <c r="D119" s="981">
        <v>5.6122448979591837E-2</v>
      </c>
      <c r="E119" s="981">
        <v>0.27551020408163263</v>
      </c>
      <c r="F119" s="981">
        <v>0.28061224489795916</v>
      </c>
      <c r="G119" s="981">
        <v>0.30612244897959184</v>
      </c>
      <c r="H119" s="981">
        <v>2.0408163265306121E-2</v>
      </c>
      <c r="I119" s="874">
        <v>196</v>
      </c>
      <c r="J119" s="790"/>
      <c r="K119" s="785"/>
      <c r="L119" s="785"/>
      <c r="M119" s="785"/>
      <c r="N119" s="785"/>
    </row>
    <row r="120" spans="2:20" ht="15.75">
      <c r="B120" s="381" t="s">
        <v>91</v>
      </c>
      <c r="C120" s="981">
        <v>9.3922651933701654E-2</v>
      </c>
      <c r="D120" s="981">
        <v>0.17679558011049723</v>
      </c>
      <c r="E120" s="981">
        <v>0.16022099447513813</v>
      </c>
      <c r="F120" s="981">
        <v>0.24861878453038674</v>
      </c>
      <c r="G120" s="981">
        <v>0.143646408839779</v>
      </c>
      <c r="H120" s="981">
        <v>0.16574585635359115</v>
      </c>
      <c r="I120" s="874">
        <v>181</v>
      </c>
      <c r="J120" s="790"/>
      <c r="K120" s="785"/>
      <c r="L120" s="785"/>
      <c r="M120" s="785"/>
      <c r="N120" s="785"/>
      <c r="O120" s="328"/>
      <c r="P120" s="328"/>
      <c r="Q120" s="328"/>
      <c r="R120" s="328"/>
      <c r="S120" s="328"/>
      <c r="T120" s="328"/>
    </row>
    <row r="121" spans="2:20" ht="15.75">
      <c r="B121" s="381" t="s">
        <v>86</v>
      </c>
      <c r="C121" s="981">
        <v>8.4269662921348312E-2</v>
      </c>
      <c r="D121" s="981">
        <v>0.16853932584269662</v>
      </c>
      <c r="E121" s="981">
        <v>0.17415730337078653</v>
      </c>
      <c r="F121" s="981">
        <v>0.24157303370786518</v>
      </c>
      <c r="G121" s="981">
        <v>0.2752808988764045</v>
      </c>
      <c r="H121" s="981">
        <v>0</v>
      </c>
      <c r="I121" s="874">
        <v>178</v>
      </c>
      <c r="J121" s="790"/>
      <c r="K121" s="328"/>
      <c r="L121" s="328"/>
      <c r="M121" s="328"/>
      <c r="N121" s="328"/>
      <c r="O121" s="785"/>
      <c r="P121" s="785"/>
      <c r="Q121" s="785"/>
      <c r="R121" s="785"/>
      <c r="S121" s="785"/>
      <c r="T121" s="785"/>
    </row>
    <row r="122" spans="2:20" ht="15.75">
      <c r="B122" s="381" t="s">
        <v>130</v>
      </c>
      <c r="C122" s="981">
        <v>0.45323741007194246</v>
      </c>
      <c r="D122" s="981">
        <v>0.15827338129496402</v>
      </c>
      <c r="E122" s="981">
        <v>0.17985611510791366</v>
      </c>
      <c r="F122" s="981">
        <v>0.10071942446043165</v>
      </c>
      <c r="G122" s="981">
        <v>0.1079136690647482</v>
      </c>
      <c r="H122" s="981">
        <v>0</v>
      </c>
      <c r="I122" s="874">
        <v>139</v>
      </c>
      <c r="J122" s="790"/>
      <c r="K122" s="328"/>
      <c r="L122" s="328"/>
      <c r="M122" s="328"/>
      <c r="N122" s="328"/>
      <c r="O122" s="328"/>
      <c r="P122" s="328"/>
      <c r="Q122" s="328"/>
      <c r="R122" s="328"/>
      <c r="S122" s="328"/>
      <c r="T122" s="328"/>
    </row>
    <row r="123" spans="2:20" ht="15.75">
      <c r="B123" s="381" t="s">
        <v>77</v>
      </c>
      <c r="C123" s="981">
        <v>6.7164179104477612E-2</v>
      </c>
      <c r="D123" s="981">
        <v>0</v>
      </c>
      <c r="E123" s="981">
        <v>0.19402985074626866</v>
      </c>
      <c r="F123" s="981">
        <v>0.38805970149253732</v>
      </c>
      <c r="G123" s="981">
        <v>0.27611940298507465</v>
      </c>
      <c r="H123" s="981">
        <v>0</v>
      </c>
      <c r="I123" s="874">
        <v>134</v>
      </c>
      <c r="J123" s="790"/>
      <c r="K123" s="328"/>
      <c r="L123" s="328"/>
      <c r="M123" s="328"/>
      <c r="N123" s="328"/>
      <c r="O123" s="328"/>
      <c r="P123" s="328"/>
      <c r="Q123" s="328"/>
      <c r="R123" s="328"/>
      <c r="S123" s="328"/>
      <c r="T123" s="328"/>
    </row>
    <row r="124" spans="2:20" ht="15.75">
      <c r="B124" s="381" t="s">
        <v>368</v>
      </c>
      <c r="C124" s="981">
        <v>0.51162790697674421</v>
      </c>
      <c r="D124" s="981">
        <v>0.18604651162790697</v>
      </c>
      <c r="E124" s="981">
        <v>6.9767441860465115E-2</v>
      </c>
      <c r="F124" s="981">
        <v>7.7519379844961239E-2</v>
      </c>
      <c r="G124" s="981">
        <v>6.2015503875968991E-2</v>
      </c>
      <c r="H124" s="981">
        <v>0</v>
      </c>
      <c r="I124" s="874">
        <v>129</v>
      </c>
      <c r="J124" s="790"/>
      <c r="K124" s="328"/>
      <c r="L124" s="328"/>
      <c r="M124" s="328"/>
      <c r="N124" s="328"/>
      <c r="O124" s="328"/>
      <c r="P124" s="328"/>
      <c r="Q124" s="328"/>
      <c r="R124" s="328"/>
      <c r="S124" s="328"/>
      <c r="T124" s="328"/>
    </row>
    <row r="125" spans="2:20" ht="15.75">
      <c r="B125" s="783"/>
      <c r="C125" s="785"/>
      <c r="D125" s="785"/>
      <c r="E125" s="785"/>
      <c r="F125" s="785"/>
      <c r="G125" s="785"/>
      <c r="H125" s="328"/>
      <c r="I125" s="328"/>
      <c r="J125" s="328"/>
      <c r="K125" s="328"/>
      <c r="L125" s="328"/>
      <c r="M125" s="328"/>
      <c r="N125" s="328"/>
      <c r="O125" s="328"/>
      <c r="P125" s="328"/>
      <c r="Q125" s="328"/>
      <c r="R125" s="328"/>
      <c r="S125" s="328"/>
      <c r="T125" s="328"/>
    </row>
    <row r="126" spans="2:20" ht="23.25">
      <c r="B126" s="127" t="s">
        <v>749</v>
      </c>
      <c r="C126" s="328"/>
      <c r="D126" s="328"/>
      <c r="E126" s="328"/>
      <c r="F126" s="328"/>
      <c r="G126" s="328"/>
      <c r="H126" s="328"/>
      <c r="I126" s="328"/>
      <c r="J126" s="328"/>
      <c r="K126" s="328"/>
      <c r="L126" s="328"/>
      <c r="M126" s="328"/>
      <c r="N126" s="328"/>
      <c r="O126" s="328"/>
      <c r="P126" s="328"/>
      <c r="Q126" s="328"/>
      <c r="R126" s="328"/>
      <c r="S126" s="328"/>
      <c r="T126" s="328"/>
    </row>
    <row r="127" spans="2:20" ht="15.75">
      <c r="B127" s="778" t="s">
        <v>430</v>
      </c>
      <c r="C127" s="328"/>
      <c r="D127" s="328"/>
      <c r="E127" s="328"/>
      <c r="F127" s="328"/>
      <c r="G127" s="328"/>
      <c r="H127" s="328"/>
      <c r="I127" s="328"/>
      <c r="J127" s="328"/>
      <c r="K127" s="328"/>
      <c r="L127" s="328"/>
      <c r="M127" s="328"/>
      <c r="N127" s="328"/>
      <c r="O127" s="328"/>
      <c r="P127" s="328"/>
      <c r="Q127" s="328"/>
      <c r="R127" s="328"/>
      <c r="S127" s="328"/>
      <c r="T127" s="328"/>
    </row>
    <row r="128" spans="2:20" ht="26.25">
      <c r="B128" s="706" t="s">
        <v>36</v>
      </c>
      <c r="C128" s="707" t="s">
        <v>37</v>
      </c>
      <c r="D128" s="707" t="s">
        <v>38</v>
      </c>
      <c r="E128" s="707" t="s">
        <v>6</v>
      </c>
      <c r="F128" s="707" t="s">
        <v>39</v>
      </c>
      <c r="G128" s="707" t="s">
        <v>7</v>
      </c>
      <c r="H128" s="707" t="s">
        <v>40</v>
      </c>
      <c r="J128" s="328"/>
      <c r="K128" s="328"/>
      <c r="L128" s="328"/>
      <c r="M128" s="328"/>
      <c r="N128" s="328"/>
      <c r="O128" s="328"/>
      <c r="P128" s="328"/>
      <c r="Q128" s="328"/>
      <c r="R128" s="328"/>
      <c r="S128" s="328"/>
      <c r="T128" s="328"/>
    </row>
    <row r="129" spans="2:20" ht="15.75">
      <c r="B129" s="378" t="s">
        <v>95</v>
      </c>
      <c r="C129" s="893">
        <v>114</v>
      </c>
      <c r="D129" s="893">
        <v>144</v>
      </c>
      <c r="E129" s="893">
        <v>257</v>
      </c>
      <c r="F129" s="982">
        <v>5.0730359257797078E-2</v>
      </c>
      <c r="G129" s="983">
        <v>281</v>
      </c>
      <c r="H129" s="980">
        <v>-8.5409252669039148E-2</v>
      </c>
      <c r="J129" s="328"/>
      <c r="K129" s="328"/>
      <c r="L129" s="328"/>
      <c r="M129" s="328"/>
      <c r="N129" s="328"/>
      <c r="O129" s="328"/>
      <c r="P129" s="328"/>
      <c r="Q129" s="328"/>
      <c r="R129" s="328"/>
      <c r="S129" s="328"/>
      <c r="T129" s="328"/>
    </row>
    <row r="130" spans="2:20" ht="15.75">
      <c r="B130" s="381" t="s">
        <v>52</v>
      </c>
      <c r="C130" s="895">
        <v>328</v>
      </c>
      <c r="D130" s="895">
        <v>387</v>
      </c>
      <c r="E130" s="895">
        <v>713</v>
      </c>
      <c r="F130" s="984">
        <v>0.14074220292143702</v>
      </c>
      <c r="G130" s="985">
        <v>288</v>
      </c>
      <c r="H130" s="981">
        <v>1.4756944444444444</v>
      </c>
      <c r="J130" s="328"/>
      <c r="K130" s="328"/>
      <c r="L130" s="328"/>
      <c r="M130" s="328"/>
      <c r="N130" s="328"/>
      <c r="O130" s="328"/>
      <c r="P130" s="328"/>
      <c r="Q130" s="328"/>
      <c r="R130" s="328"/>
      <c r="S130" s="328"/>
      <c r="T130" s="328"/>
    </row>
    <row r="131" spans="2:20" ht="15.75">
      <c r="B131" s="381" t="s">
        <v>54</v>
      </c>
      <c r="C131" s="895">
        <v>216</v>
      </c>
      <c r="D131" s="895">
        <v>246</v>
      </c>
      <c r="E131" s="895">
        <v>465</v>
      </c>
      <c r="F131" s="984">
        <v>9.1788393209632849E-2</v>
      </c>
      <c r="G131" s="985">
        <v>216</v>
      </c>
      <c r="H131" s="981">
        <v>1.1527777777777777</v>
      </c>
      <c r="J131" s="328"/>
      <c r="K131" s="328"/>
      <c r="L131" s="328"/>
      <c r="M131" s="328"/>
      <c r="N131" s="328"/>
      <c r="O131" s="328"/>
      <c r="P131" s="328"/>
      <c r="Q131" s="328"/>
      <c r="R131" s="328"/>
      <c r="S131" s="328"/>
      <c r="T131" s="328"/>
    </row>
    <row r="132" spans="2:20" ht="15.75">
      <c r="B132" s="381" t="s">
        <v>112</v>
      </c>
      <c r="C132" s="895">
        <v>164</v>
      </c>
      <c r="D132" s="895">
        <v>130</v>
      </c>
      <c r="E132" s="895">
        <v>296</v>
      </c>
      <c r="F132" s="984">
        <v>5.8428740623766288E-2</v>
      </c>
      <c r="G132" s="985">
        <v>171</v>
      </c>
      <c r="H132" s="981">
        <v>0.73099415204678364</v>
      </c>
      <c r="J132" s="328"/>
      <c r="K132" s="328"/>
      <c r="L132" s="328"/>
      <c r="M132" s="328"/>
      <c r="N132" s="328"/>
      <c r="O132" s="328"/>
      <c r="P132" s="328"/>
      <c r="Q132" s="328"/>
      <c r="R132" s="328"/>
      <c r="S132" s="328"/>
      <c r="T132" s="328"/>
    </row>
    <row r="133" spans="2:20">
      <c r="B133" s="381" t="s">
        <v>100</v>
      </c>
      <c r="C133" s="895">
        <v>87</v>
      </c>
      <c r="D133" s="895">
        <v>116</v>
      </c>
      <c r="E133" s="895">
        <v>203</v>
      </c>
      <c r="F133" s="984">
        <v>4.0071061981839719E-2</v>
      </c>
      <c r="G133" s="985">
        <v>126</v>
      </c>
      <c r="H133" s="981">
        <v>0.61111111111111116</v>
      </c>
    </row>
    <row r="134" spans="2:20">
      <c r="B134" s="381" t="s">
        <v>113</v>
      </c>
      <c r="C134" s="895">
        <v>84</v>
      </c>
      <c r="D134" s="895">
        <v>119</v>
      </c>
      <c r="E134" s="895">
        <v>202</v>
      </c>
      <c r="F134" s="984">
        <v>3.9873667587840507E-2</v>
      </c>
      <c r="G134" s="985">
        <v>87</v>
      </c>
      <c r="H134" s="981">
        <v>1.3218390804597702</v>
      </c>
    </row>
    <row r="135" spans="2:20">
      <c r="B135" s="381" t="s">
        <v>53</v>
      </c>
      <c r="C135" s="895">
        <v>77</v>
      </c>
      <c r="D135" s="895">
        <v>95</v>
      </c>
      <c r="E135" s="895">
        <v>172</v>
      </c>
      <c r="F135" s="984">
        <v>3.3951835767864195E-2</v>
      </c>
      <c r="G135" s="985">
        <v>67</v>
      </c>
      <c r="H135" s="981">
        <v>1.5671641791044777</v>
      </c>
    </row>
    <row r="136" spans="2:20">
      <c r="B136" s="381" t="s">
        <v>107</v>
      </c>
      <c r="C136" s="895">
        <v>48</v>
      </c>
      <c r="D136" s="895">
        <v>121</v>
      </c>
      <c r="E136" s="895">
        <v>169</v>
      </c>
      <c r="F136" s="984">
        <v>3.335965258586656E-2</v>
      </c>
      <c r="G136" s="985">
        <v>114</v>
      </c>
      <c r="H136" s="981">
        <v>0.48245614035087719</v>
      </c>
    </row>
    <row r="137" spans="2:20">
      <c r="B137" s="381" t="s">
        <v>96</v>
      </c>
      <c r="C137" s="895">
        <v>64</v>
      </c>
      <c r="D137" s="895">
        <v>51</v>
      </c>
      <c r="E137" s="895">
        <v>120</v>
      </c>
      <c r="F137" s="984">
        <v>2.3687327279905249E-2</v>
      </c>
      <c r="G137" s="985">
        <v>37</v>
      </c>
      <c r="H137" s="981">
        <v>2.2432432432432434</v>
      </c>
    </row>
    <row r="138" spans="2:20">
      <c r="B138" s="381" t="s">
        <v>407</v>
      </c>
      <c r="C138" s="895">
        <v>53</v>
      </c>
      <c r="D138" s="895">
        <v>61</v>
      </c>
      <c r="E138" s="895">
        <v>114</v>
      </c>
      <c r="F138" s="984">
        <v>2.2502960915909989E-2</v>
      </c>
      <c r="G138" s="985">
        <v>72</v>
      </c>
      <c r="H138" s="981">
        <v>0.58333333333333337</v>
      </c>
    </row>
    <row r="139" spans="2:20">
      <c r="B139" s="381" t="s">
        <v>148</v>
      </c>
      <c r="C139" s="895">
        <v>60</v>
      </c>
      <c r="D139" s="895">
        <v>54</v>
      </c>
      <c r="E139" s="895">
        <v>114</v>
      </c>
      <c r="F139" s="984">
        <v>2.2502960915909989E-2</v>
      </c>
      <c r="G139" s="985">
        <v>22</v>
      </c>
      <c r="H139" s="981">
        <v>4.1818181818181817</v>
      </c>
    </row>
    <row r="140" spans="2:20">
      <c r="B140" s="381" t="s">
        <v>55</v>
      </c>
      <c r="C140" s="895">
        <v>54</v>
      </c>
      <c r="D140" s="895">
        <v>51</v>
      </c>
      <c r="E140" s="895">
        <v>106</v>
      </c>
      <c r="F140" s="984">
        <v>2.0923805763916305E-2</v>
      </c>
      <c r="G140" s="985">
        <v>27</v>
      </c>
      <c r="H140" s="981">
        <v>2.925925925925926</v>
      </c>
    </row>
    <row r="141" spans="2:20">
      <c r="B141" s="381" t="s">
        <v>97</v>
      </c>
      <c r="C141" s="895">
        <v>40</v>
      </c>
      <c r="D141" s="895">
        <v>58</v>
      </c>
      <c r="E141" s="895">
        <v>97</v>
      </c>
      <c r="F141" s="984">
        <v>1.914725621792341E-2</v>
      </c>
      <c r="G141" s="985">
        <v>79</v>
      </c>
      <c r="H141" s="981">
        <v>0.22784810126582278</v>
      </c>
    </row>
    <row r="142" spans="2:20">
      <c r="B142" s="381" t="s">
        <v>189</v>
      </c>
      <c r="C142" s="895">
        <v>48</v>
      </c>
      <c r="D142" s="895">
        <v>46</v>
      </c>
      <c r="E142" s="895">
        <v>96</v>
      </c>
      <c r="F142" s="984">
        <v>1.8949861823924202E-2</v>
      </c>
      <c r="G142" s="985">
        <v>6</v>
      </c>
      <c r="H142" s="981">
        <v>15</v>
      </c>
    </row>
    <row r="143" spans="2:20">
      <c r="B143" s="381" t="s">
        <v>106</v>
      </c>
      <c r="C143" s="895">
        <v>51</v>
      </c>
      <c r="D143" s="895">
        <v>40</v>
      </c>
      <c r="E143" s="895">
        <v>93</v>
      </c>
      <c r="F143" s="984">
        <v>1.835767864192657E-2</v>
      </c>
      <c r="G143" s="985">
        <v>38</v>
      </c>
      <c r="H143" s="981">
        <v>1.4473684210526316</v>
      </c>
    </row>
    <row r="144" spans="2:20">
      <c r="B144" s="381" t="s">
        <v>408</v>
      </c>
      <c r="C144" s="895">
        <v>45</v>
      </c>
      <c r="D144" s="895">
        <v>47</v>
      </c>
      <c r="E144" s="895">
        <v>90</v>
      </c>
      <c r="F144" s="984">
        <v>1.7765495459928938E-2</v>
      </c>
      <c r="G144" s="985">
        <v>72</v>
      </c>
      <c r="H144" s="981">
        <v>0.25</v>
      </c>
    </row>
    <row r="145" spans="2:11">
      <c r="B145" s="381" t="s">
        <v>436</v>
      </c>
      <c r="C145" s="895">
        <v>42</v>
      </c>
      <c r="D145" s="895">
        <v>42</v>
      </c>
      <c r="E145" s="895">
        <v>87</v>
      </c>
      <c r="F145" s="984">
        <v>1.7173312277931306E-2</v>
      </c>
      <c r="G145" s="874">
        <v>28</v>
      </c>
      <c r="H145" s="981">
        <v>2.1071428571428572</v>
      </c>
    </row>
    <row r="146" spans="2:11">
      <c r="B146" s="381" t="s">
        <v>101</v>
      </c>
      <c r="C146" s="895">
        <v>33</v>
      </c>
      <c r="D146" s="895">
        <v>46</v>
      </c>
      <c r="E146" s="895">
        <v>80</v>
      </c>
      <c r="F146" s="984">
        <v>1.5791551519936834E-2</v>
      </c>
      <c r="G146" s="874">
        <v>85</v>
      </c>
      <c r="H146" s="981">
        <v>-5.8823529411764705E-2</v>
      </c>
    </row>
    <row r="147" spans="2:11">
      <c r="B147" s="381" t="s">
        <v>194</v>
      </c>
      <c r="C147" s="895">
        <v>36</v>
      </c>
      <c r="D147" s="895">
        <v>41</v>
      </c>
      <c r="E147" s="895">
        <v>80</v>
      </c>
      <c r="F147" s="984">
        <v>1.5791551519936834E-2</v>
      </c>
      <c r="G147" s="874">
        <v>62</v>
      </c>
      <c r="H147" s="981">
        <v>0.29032258064516131</v>
      </c>
    </row>
    <row r="148" spans="2:11">
      <c r="B148" s="381" t="s">
        <v>431</v>
      </c>
      <c r="C148" s="895">
        <v>27</v>
      </c>
      <c r="D148" s="895">
        <v>48</v>
      </c>
      <c r="E148" s="895">
        <v>79</v>
      </c>
      <c r="F148" s="984">
        <v>1.5594157125937624E-2</v>
      </c>
      <c r="G148" s="874">
        <v>46</v>
      </c>
      <c r="H148" s="981">
        <v>0.71739130434782605</v>
      </c>
    </row>
    <row r="149" spans="2:11">
      <c r="B149" s="381" t="s">
        <v>105</v>
      </c>
      <c r="C149" s="895">
        <v>30</v>
      </c>
      <c r="D149" s="895">
        <v>38</v>
      </c>
      <c r="E149" s="895">
        <v>70</v>
      </c>
      <c r="F149" s="984">
        <v>1.381760757994473E-2</v>
      </c>
      <c r="G149" s="874">
        <v>39</v>
      </c>
      <c r="H149" s="981">
        <v>0.79487179487179482</v>
      </c>
    </row>
    <row r="150" spans="2:11">
      <c r="B150" s="381" t="s">
        <v>103</v>
      </c>
      <c r="C150" s="895">
        <v>27</v>
      </c>
      <c r="D150" s="895">
        <v>41</v>
      </c>
      <c r="E150" s="895">
        <v>66</v>
      </c>
      <c r="F150" s="984">
        <v>1.3028030003947888E-2</v>
      </c>
      <c r="G150" s="874">
        <v>46</v>
      </c>
      <c r="H150" s="981">
        <v>0.43478260869565216</v>
      </c>
    </row>
    <row r="151" spans="2:11" s="737" customFormat="1">
      <c r="B151" s="878" t="s">
        <v>411</v>
      </c>
      <c r="C151" s="883">
        <v>627</v>
      </c>
      <c r="D151" s="883">
        <v>692</v>
      </c>
      <c r="E151" s="883">
        <v>1297</v>
      </c>
      <c r="F151" s="986">
        <v>0.25602052901697592</v>
      </c>
      <c r="G151" s="883">
        <v>676</v>
      </c>
      <c r="H151" s="987">
        <v>0.91863905325443784</v>
      </c>
    </row>
    <row r="152" spans="2:11">
      <c r="B152" s="760" t="s">
        <v>874</v>
      </c>
      <c r="C152" s="828">
        <v>2355</v>
      </c>
      <c r="D152" s="828">
        <v>2714</v>
      </c>
      <c r="E152" s="828">
        <v>5066</v>
      </c>
      <c r="F152" s="1068">
        <v>1</v>
      </c>
      <c r="G152" s="1069">
        <v>2685</v>
      </c>
      <c r="H152" s="1070">
        <v>0.88677839851024209</v>
      </c>
    </row>
    <row r="153" spans="2:11" ht="15.75" customHeight="1">
      <c r="B153" s="389" t="s">
        <v>873</v>
      </c>
      <c r="C153" s="1071"/>
      <c r="D153" s="1071"/>
      <c r="E153" s="1071"/>
      <c r="F153" s="984"/>
      <c r="G153" s="985"/>
      <c r="H153" s="981"/>
    </row>
    <row r="154" spans="2:11">
      <c r="B154" s="784"/>
      <c r="C154" s="784"/>
      <c r="D154" s="784"/>
      <c r="E154" s="784"/>
      <c r="F154" s="834"/>
      <c r="G154" s="835"/>
      <c r="H154" s="784"/>
      <c r="I154" s="784"/>
    </row>
    <row r="155" spans="2:11" ht="23.25">
      <c r="B155" s="127" t="s">
        <v>750</v>
      </c>
      <c r="C155" s="328"/>
      <c r="D155" s="328"/>
      <c r="E155" s="328"/>
      <c r="F155" s="328"/>
      <c r="G155" s="328"/>
      <c r="H155" s="328"/>
      <c r="I155" s="328"/>
    </row>
    <row r="156" spans="2:11" ht="15.75">
      <c r="B156" s="778" t="s">
        <v>825</v>
      </c>
      <c r="C156" s="328"/>
      <c r="D156" s="328"/>
      <c r="E156" s="328"/>
      <c r="F156" s="328"/>
      <c r="G156" s="328"/>
      <c r="H156" s="328"/>
      <c r="I156" s="328"/>
    </row>
    <row r="157" spans="2:11">
      <c r="B157" s="140" t="s">
        <v>36</v>
      </c>
      <c r="C157" s="145" t="s">
        <v>42</v>
      </c>
      <c r="D157" s="145" t="s">
        <v>43</v>
      </c>
      <c r="E157" s="145" t="s">
        <v>44</v>
      </c>
      <c r="F157" s="145" t="s">
        <v>45</v>
      </c>
      <c r="G157" s="145" t="s">
        <v>46</v>
      </c>
      <c r="H157" s="145" t="s">
        <v>28</v>
      </c>
    </row>
    <row r="158" spans="2:11" ht="15" customHeight="1">
      <c r="B158" s="185" t="s">
        <v>52</v>
      </c>
      <c r="C158" s="186"/>
      <c r="D158" s="186"/>
      <c r="E158" s="186"/>
      <c r="F158" s="186"/>
      <c r="G158" s="186"/>
      <c r="H158" s="187"/>
      <c r="J158" s="381"/>
      <c r="K158" s="381"/>
    </row>
    <row r="159" spans="2:11" ht="15" customHeight="1">
      <c r="B159" s="188" t="s">
        <v>48</v>
      </c>
      <c r="C159" s="209">
        <v>116</v>
      </c>
      <c r="D159" s="209">
        <v>109</v>
      </c>
      <c r="E159" s="209">
        <v>278</v>
      </c>
      <c r="F159" s="209">
        <v>145</v>
      </c>
      <c r="G159" s="209">
        <v>21</v>
      </c>
      <c r="H159" s="210">
        <v>678</v>
      </c>
      <c r="J159" s="1058"/>
      <c r="K159" s="381"/>
    </row>
    <row r="160" spans="2:11" ht="15" customHeight="1">
      <c r="B160" s="191" t="s">
        <v>49</v>
      </c>
      <c r="C160" s="207">
        <v>10</v>
      </c>
      <c r="D160" s="207">
        <v>3</v>
      </c>
      <c r="E160" s="207">
        <v>0</v>
      </c>
      <c r="F160" s="207">
        <v>6</v>
      </c>
      <c r="G160" s="207">
        <v>8</v>
      </c>
      <c r="H160" s="208">
        <v>31</v>
      </c>
      <c r="J160" s="1058"/>
      <c r="K160" s="381"/>
    </row>
    <row r="161" spans="2:11" ht="15" customHeight="1">
      <c r="B161" s="188" t="s">
        <v>50</v>
      </c>
      <c r="C161" s="209">
        <v>132</v>
      </c>
      <c r="D161" s="209">
        <v>114</v>
      </c>
      <c r="E161" s="209">
        <v>283</v>
      </c>
      <c r="F161" s="209">
        <v>155</v>
      </c>
      <c r="G161" s="209">
        <v>27</v>
      </c>
      <c r="H161" s="210">
        <v>713</v>
      </c>
      <c r="J161" s="1058"/>
      <c r="K161" s="381"/>
    </row>
    <row r="162" spans="2:11" ht="15" customHeight="1">
      <c r="B162" s="194" t="s">
        <v>51</v>
      </c>
      <c r="C162" s="96">
        <v>7.575757575757576E-2</v>
      </c>
      <c r="D162" s="96">
        <v>2.6315789473684209E-2</v>
      </c>
      <c r="E162" s="96">
        <v>0</v>
      </c>
      <c r="F162" s="96">
        <v>3.870967741935484E-2</v>
      </c>
      <c r="G162" s="96">
        <v>0.29629629629629628</v>
      </c>
      <c r="H162" s="97">
        <v>4.3478260869565216E-2</v>
      </c>
      <c r="J162" s="381"/>
      <c r="K162" s="381"/>
    </row>
    <row r="163" spans="2:11" ht="15" customHeight="1">
      <c r="B163" s="195" t="s">
        <v>54</v>
      </c>
      <c r="C163" s="196"/>
      <c r="D163" s="196"/>
      <c r="E163" s="196"/>
      <c r="F163" s="196"/>
      <c r="G163" s="196"/>
      <c r="H163" s="197"/>
      <c r="J163" s="1058"/>
      <c r="K163" s="381"/>
    </row>
    <row r="164" spans="2:11" ht="15" customHeight="1">
      <c r="B164" s="191" t="s">
        <v>48</v>
      </c>
      <c r="C164" s="241">
        <v>81</v>
      </c>
      <c r="D164" s="241">
        <v>60</v>
      </c>
      <c r="E164" s="241">
        <v>208</v>
      </c>
      <c r="F164" s="241">
        <v>83</v>
      </c>
      <c r="G164" s="241">
        <v>11</v>
      </c>
      <c r="H164" s="203">
        <v>438</v>
      </c>
      <c r="J164" s="1058"/>
    </row>
    <row r="165" spans="2:11" ht="15" customHeight="1">
      <c r="B165" s="188" t="s">
        <v>49</v>
      </c>
      <c r="C165" s="238">
        <v>4</v>
      </c>
      <c r="D165" s="238">
        <v>0</v>
      </c>
      <c r="E165" s="238">
        <v>0</v>
      </c>
      <c r="F165" s="238">
        <v>0</v>
      </c>
      <c r="G165" s="238">
        <v>3</v>
      </c>
      <c r="H165" s="554">
        <v>11</v>
      </c>
      <c r="J165" s="1058"/>
    </row>
    <row r="166" spans="2:11" ht="15" customHeight="1">
      <c r="B166" s="191" t="s">
        <v>50</v>
      </c>
      <c r="C166" s="241">
        <v>89</v>
      </c>
      <c r="D166" s="241">
        <v>60</v>
      </c>
      <c r="E166" s="241">
        <v>216</v>
      </c>
      <c r="F166" s="241">
        <v>83</v>
      </c>
      <c r="G166" s="241">
        <v>12</v>
      </c>
      <c r="H166" s="203">
        <v>465</v>
      </c>
      <c r="J166" s="381"/>
    </row>
    <row r="167" spans="2:11" ht="15" customHeight="1">
      <c r="B167" s="202" t="s">
        <v>51</v>
      </c>
      <c r="C167" s="101">
        <v>4.49438202247191E-2</v>
      </c>
      <c r="D167" s="101">
        <v>0</v>
      </c>
      <c r="E167" s="101">
        <v>0</v>
      </c>
      <c r="F167" s="101">
        <v>0</v>
      </c>
      <c r="G167" s="101">
        <v>0.25</v>
      </c>
      <c r="H167" s="99">
        <v>2.3655913978494623E-2</v>
      </c>
      <c r="J167" s="1058"/>
    </row>
    <row r="168" spans="2:11" ht="15" customHeight="1">
      <c r="B168" s="185" t="s">
        <v>112</v>
      </c>
      <c r="C168" s="186"/>
      <c r="D168" s="186"/>
      <c r="E168" s="186"/>
      <c r="F168" s="186"/>
      <c r="G168" s="186"/>
      <c r="H168" s="203"/>
      <c r="J168" s="1058"/>
    </row>
    <row r="169" spans="2:11" ht="15" customHeight="1">
      <c r="B169" s="188" t="s">
        <v>48</v>
      </c>
      <c r="C169" s="238">
        <v>65</v>
      </c>
      <c r="D169" s="238">
        <v>29</v>
      </c>
      <c r="E169" s="238">
        <v>102</v>
      </c>
      <c r="F169" s="239">
        <v>46</v>
      </c>
      <c r="G169" s="434">
        <v>10</v>
      </c>
      <c r="H169" s="554">
        <v>258</v>
      </c>
      <c r="J169" s="1058"/>
    </row>
    <row r="170" spans="2:11" ht="15" customHeight="1">
      <c r="B170" s="191" t="s">
        <v>49</v>
      </c>
      <c r="C170" s="241">
        <v>12</v>
      </c>
      <c r="D170" s="241">
        <v>0</v>
      </c>
      <c r="E170" s="241">
        <v>11</v>
      </c>
      <c r="F170" s="242">
        <v>6</v>
      </c>
      <c r="G170" s="241">
        <v>4</v>
      </c>
      <c r="H170" s="203">
        <v>33</v>
      </c>
      <c r="J170" s="381"/>
    </row>
    <row r="171" spans="2:11" ht="15" customHeight="1">
      <c r="B171" s="188" t="s">
        <v>50</v>
      </c>
      <c r="C171" s="238">
        <v>77</v>
      </c>
      <c r="D171" s="238">
        <v>29</v>
      </c>
      <c r="E171" s="238">
        <v>119</v>
      </c>
      <c r="F171" s="238">
        <v>58</v>
      </c>
      <c r="G171" s="435">
        <v>14</v>
      </c>
      <c r="H171" s="554">
        <v>296</v>
      </c>
      <c r="J171" s="1058"/>
    </row>
    <row r="172" spans="2:11" ht="15" customHeight="1">
      <c r="B172" s="194" t="s">
        <v>51</v>
      </c>
      <c r="C172" s="96">
        <v>0.15584415584415584</v>
      </c>
      <c r="D172" s="96">
        <v>0</v>
      </c>
      <c r="E172" s="96">
        <v>9.2436974789915971E-2</v>
      </c>
      <c r="F172" s="96">
        <v>0.10344827586206896</v>
      </c>
      <c r="G172" s="96">
        <v>0.2857142857142857</v>
      </c>
      <c r="H172" s="97">
        <v>0.11148648648648649</v>
      </c>
      <c r="J172" s="1058"/>
    </row>
    <row r="173" spans="2:11" ht="15" customHeight="1">
      <c r="B173" s="195" t="s">
        <v>100</v>
      </c>
      <c r="C173" s="196"/>
      <c r="D173" s="196"/>
      <c r="E173" s="196"/>
      <c r="F173" s="196"/>
      <c r="G173" s="196"/>
      <c r="H173" s="197"/>
      <c r="J173" s="1058"/>
    </row>
    <row r="174" spans="2:11" ht="15" customHeight="1">
      <c r="B174" s="191" t="s">
        <v>48</v>
      </c>
      <c r="C174" s="241">
        <v>32</v>
      </c>
      <c r="D174" s="241">
        <v>27</v>
      </c>
      <c r="E174" s="241">
        <v>61</v>
      </c>
      <c r="F174" s="241">
        <v>16</v>
      </c>
      <c r="G174" s="241">
        <v>3</v>
      </c>
      <c r="H174" s="203">
        <v>145</v>
      </c>
      <c r="J174" s="381"/>
    </row>
    <row r="175" spans="2:11" ht="15" customHeight="1">
      <c r="B175" s="188" t="s">
        <v>49</v>
      </c>
      <c r="C175" s="238">
        <v>13</v>
      </c>
      <c r="D175" s="238">
        <v>6</v>
      </c>
      <c r="E175" s="238">
        <v>16</v>
      </c>
      <c r="F175" s="238">
        <v>16</v>
      </c>
      <c r="G175" s="238">
        <v>9</v>
      </c>
      <c r="H175" s="554">
        <v>53</v>
      </c>
      <c r="J175" s="1058"/>
    </row>
    <row r="176" spans="2:11" ht="15" customHeight="1">
      <c r="B176" s="191" t="s">
        <v>50</v>
      </c>
      <c r="C176" s="241">
        <v>40</v>
      </c>
      <c r="D176" s="241">
        <v>33</v>
      </c>
      <c r="E176" s="241">
        <v>85</v>
      </c>
      <c r="F176" s="241">
        <v>34</v>
      </c>
      <c r="G176" s="241">
        <v>12</v>
      </c>
      <c r="H176" s="203">
        <v>203</v>
      </c>
      <c r="J176" s="1058"/>
    </row>
    <row r="177" spans="2:19" ht="15" customHeight="1">
      <c r="B177" s="202" t="s">
        <v>51</v>
      </c>
      <c r="C177" s="98">
        <v>0.32500000000000001</v>
      </c>
      <c r="D177" s="98">
        <v>0.18181818181818182</v>
      </c>
      <c r="E177" s="98">
        <v>0.18823529411764706</v>
      </c>
      <c r="F177" s="98">
        <v>0.47058823529411764</v>
      </c>
      <c r="G177" s="98">
        <v>0.75</v>
      </c>
      <c r="H177" s="100">
        <v>0.26108374384236455</v>
      </c>
      <c r="J177" s="1058"/>
    </row>
    <row r="178" spans="2:19" ht="15" customHeight="1">
      <c r="B178" s="185" t="s">
        <v>113</v>
      </c>
      <c r="C178" s="186"/>
      <c r="D178" s="186"/>
      <c r="E178" s="186"/>
      <c r="F178" s="186"/>
      <c r="G178" s="186"/>
      <c r="H178" s="187"/>
      <c r="J178" s="381"/>
    </row>
    <row r="179" spans="2:19" ht="15" customHeight="1">
      <c r="B179" s="188" t="s">
        <v>48</v>
      </c>
      <c r="C179" s="238">
        <v>25</v>
      </c>
      <c r="D179" s="238">
        <v>11</v>
      </c>
      <c r="E179" s="238">
        <v>78</v>
      </c>
      <c r="F179" s="238">
        <v>55</v>
      </c>
      <c r="G179" s="238">
        <v>8</v>
      </c>
      <c r="H179" s="554">
        <v>178</v>
      </c>
      <c r="J179" s="1058"/>
    </row>
    <row r="180" spans="2:19" ht="15" customHeight="1">
      <c r="B180" s="191" t="s">
        <v>49</v>
      </c>
      <c r="C180" s="241">
        <v>16</v>
      </c>
      <c r="D180" s="241">
        <v>3</v>
      </c>
      <c r="E180" s="241">
        <v>3</v>
      </c>
      <c r="F180" s="241">
        <v>3</v>
      </c>
      <c r="G180" s="241">
        <v>0</v>
      </c>
      <c r="H180" s="203">
        <v>20</v>
      </c>
      <c r="J180" s="1058"/>
    </row>
    <row r="181" spans="2:19" ht="15" customHeight="1">
      <c r="B181" s="188" t="s">
        <v>50</v>
      </c>
      <c r="C181" s="238">
        <v>46</v>
      </c>
      <c r="D181" s="238">
        <v>19</v>
      </c>
      <c r="E181" s="238">
        <v>81</v>
      </c>
      <c r="F181" s="238">
        <v>59</v>
      </c>
      <c r="G181" s="238">
        <v>4</v>
      </c>
      <c r="H181" s="554">
        <v>202</v>
      </c>
      <c r="J181" s="1058"/>
    </row>
    <row r="182" spans="2:19" ht="15" customHeight="1">
      <c r="B182" s="194" t="s">
        <v>51</v>
      </c>
      <c r="C182" s="96">
        <v>0.34782608695652173</v>
      </c>
      <c r="D182" s="96">
        <v>0.15789473684210525</v>
      </c>
      <c r="E182" s="96">
        <v>3.7037037037037035E-2</v>
      </c>
      <c r="F182" s="96">
        <v>5.0847457627118647E-2</v>
      </c>
      <c r="G182" s="96">
        <v>0</v>
      </c>
      <c r="H182" s="97">
        <v>9.9009900990099015E-2</v>
      </c>
      <c r="J182" s="381"/>
    </row>
    <row r="183" spans="2:19" ht="15" customHeight="1">
      <c r="B183" s="195" t="s">
        <v>412</v>
      </c>
      <c r="C183" s="196"/>
      <c r="D183" s="196"/>
      <c r="E183" s="196"/>
      <c r="F183" s="196"/>
      <c r="G183" s="196"/>
      <c r="H183" s="197"/>
      <c r="J183" s="1058"/>
    </row>
    <row r="184" spans="2:19" ht="15" customHeight="1">
      <c r="B184" s="191" t="s">
        <v>48</v>
      </c>
      <c r="C184" s="207">
        <v>51</v>
      </c>
      <c r="D184" s="207">
        <v>38</v>
      </c>
      <c r="E184" s="207">
        <v>73</v>
      </c>
      <c r="F184" s="207">
        <v>40</v>
      </c>
      <c r="G184" s="207">
        <v>11</v>
      </c>
      <c r="H184" s="208">
        <v>223</v>
      </c>
      <c r="J184" s="1058"/>
    </row>
    <row r="185" spans="2:19" ht="15" customHeight="1">
      <c r="B185" s="188" t="s">
        <v>49</v>
      </c>
      <c r="C185" s="209">
        <v>11</v>
      </c>
      <c r="D185" s="209">
        <v>0</v>
      </c>
      <c r="E185" s="209">
        <v>0</v>
      </c>
      <c r="F185" s="209">
        <v>8</v>
      </c>
      <c r="G185" s="209">
        <v>5</v>
      </c>
      <c r="H185" s="210">
        <v>30</v>
      </c>
      <c r="J185" s="1058"/>
    </row>
    <row r="186" spans="2:19" ht="15" customHeight="1">
      <c r="B186" s="191" t="s">
        <v>50</v>
      </c>
      <c r="C186" s="207">
        <v>66</v>
      </c>
      <c r="D186" s="207">
        <v>46</v>
      </c>
      <c r="E186" s="207">
        <v>75</v>
      </c>
      <c r="F186" s="207">
        <v>47</v>
      </c>
      <c r="G186" s="207">
        <v>21</v>
      </c>
      <c r="H186" s="208">
        <v>257</v>
      </c>
      <c r="J186" s="1072"/>
      <c r="K186" s="328"/>
      <c r="L186" s="328"/>
      <c r="M186" s="328"/>
    </row>
    <row r="187" spans="2:19" ht="15" customHeight="1">
      <c r="B187" s="202" t="s">
        <v>51</v>
      </c>
      <c r="C187" s="98">
        <v>0.16666666666666666</v>
      </c>
      <c r="D187" s="98">
        <v>0</v>
      </c>
      <c r="E187" s="98">
        <v>0</v>
      </c>
      <c r="F187" s="98">
        <v>0.1702127659574468</v>
      </c>
      <c r="G187" s="98">
        <v>0.23809523809523808</v>
      </c>
      <c r="H187" s="100">
        <v>0.11673151750972763</v>
      </c>
      <c r="J187" s="1072"/>
      <c r="K187" s="328"/>
      <c r="L187" s="328"/>
      <c r="M187" s="328"/>
    </row>
    <row r="188" spans="2:19" ht="15" customHeight="1">
      <c r="B188" s="185" t="s">
        <v>114</v>
      </c>
      <c r="C188" s="186"/>
      <c r="D188" s="186"/>
      <c r="E188" s="186"/>
      <c r="F188" s="186"/>
      <c r="G188" s="186"/>
      <c r="H188" s="187"/>
      <c r="J188" s="1072"/>
      <c r="K188" s="328"/>
      <c r="L188" s="328"/>
      <c r="M188" s="328"/>
    </row>
    <row r="189" spans="2:19" ht="15" customHeight="1">
      <c r="B189" s="188" t="s">
        <v>48</v>
      </c>
      <c r="C189" s="209">
        <v>845</v>
      </c>
      <c r="D189" s="209">
        <v>553</v>
      </c>
      <c r="E189" s="209">
        <v>2082</v>
      </c>
      <c r="F189" s="209">
        <v>857</v>
      </c>
      <c r="G189" s="209">
        <v>163</v>
      </c>
      <c r="H189" s="210">
        <v>4497</v>
      </c>
      <c r="J189" s="1072"/>
      <c r="K189" s="328"/>
      <c r="L189" s="328"/>
      <c r="M189" s="328"/>
    </row>
    <row r="190" spans="2:19" ht="15" customHeight="1">
      <c r="B190" s="191" t="s">
        <v>49</v>
      </c>
      <c r="C190" s="207">
        <v>197</v>
      </c>
      <c r="D190" s="207">
        <v>30</v>
      </c>
      <c r="E190" s="207">
        <v>123</v>
      </c>
      <c r="F190" s="207">
        <v>105</v>
      </c>
      <c r="G190" s="207">
        <v>53</v>
      </c>
      <c r="H190" s="208">
        <v>507</v>
      </c>
      <c r="J190" s="1073"/>
      <c r="K190" s="328"/>
      <c r="L190" s="328"/>
      <c r="M190" s="898"/>
      <c r="N190" s="898"/>
      <c r="O190" s="898"/>
      <c r="P190" s="898"/>
      <c r="Q190" s="898"/>
      <c r="R190" s="898"/>
      <c r="S190" s="898"/>
    </row>
    <row r="191" spans="2:19" ht="15" customHeight="1">
      <c r="B191" s="188" t="s">
        <v>50</v>
      </c>
      <c r="C191" s="209">
        <v>1064</v>
      </c>
      <c r="D191" s="209">
        <v>585</v>
      </c>
      <c r="E191" s="209">
        <v>2226</v>
      </c>
      <c r="F191" s="209">
        <v>965</v>
      </c>
      <c r="G191" s="209">
        <v>223</v>
      </c>
      <c r="H191" s="210">
        <v>5066</v>
      </c>
      <c r="J191" s="1073"/>
      <c r="K191" s="328"/>
      <c r="L191" s="328"/>
      <c r="M191" s="898"/>
      <c r="N191" s="898"/>
      <c r="O191" s="898"/>
      <c r="P191" s="898"/>
      <c r="Q191" s="898"/>
      <c r="R191" s="898"/>
      <c r="S191" s="898"/>
    </row>
    <row r="192" spans="2:19" ht="15" customHeight="1">
      <c r="B192" s="194" t="s">
        <v>51</v>
      </c>
      <c r="C192" s="96">
        <v>0.18515037593984962</v>
      </c>
      <c r="D192" s="96">
        <v>5.128205128205128E-2</v>
      </c>
      <c r="E192" s="96">
        <v>5.5256064690026953E-2</v>
      </c>
      <c r="F192" s="96">
        <v>0.10880829015544041</v>
      </c>
      <c r="G192" s="96">
        <v>0.23766816143497757</v>
      </c>
      <c r="H192" s="97">
        <v>0.10007895775759969</v>
      </c>
      <c r="J192" s="381"/>
      <c r="K192" s="381"/>
      <c r="L192" s="381"/>
      <c r="M192" s="898"/>
      <c r="N192" s="898"/>
      <c r="O192" s="898"/>
      <c r="P192" s="898"/>
      <c r="Q192" s="898"/>
      <c r="R192" s="898"/>
      <c r="S192" s="898"/>
    </row>
    <row r="193" spans="2:19" ht="15" customHeight="1">
      <c r="J193" s="381"/>
      <c r="K193" s="381"/>
      <c r="L193" s="381"/>
      <c r="M193" s="898"/>
      <c r="N193" s="898"/>
      <c r="O193" s="898"/>
      <c r="P193" s="898"/>
      <c r="Q193" s="898"/>
      <c r="R193" s="898"/>
      <c r="S193" s="898"/>
    </row>
    <row r="194" spans="2:19" ht="23.25">
      <c r="B194" s="1074" t="s">
        <v>751</v>
      </c>
      <c r="C194" s="1074"/>
      <c r="D194" s="1074"/>
      <c r="E194" s="1074"/>
      <c r="F194" s="1074"/>
      <c r="G194" s="328"/>
      <c r="H194" s="328"/>
      <c r="I194" s="328"/>
      <c r="J194" s="381"/>
      <c r="K194" s="381"/>
      <c r="L194" s="381"/>
      <c r="M194" s="898"/>
      <c r="N194" s="898"/>
      <c r="O194" s="898"/>
      <c r="P194" s="898"/>
      <c r="Q194" s="898"/>
      <c r="R194" s="898"/>
      <c r="S194" s="898"/>
    </row>
    <row r="195" spans="2:19" ht="15.95" customHeight="1">
      <c r="B195" s="1075" t="s">
        <v>826</v>
      </c>
      <c r="C195" s="1075"/>
      <c r="D195" s="1075"/>
      <c r="E195" s="1075"/>
      <c r="F195" s="1075"/>
      <c r="G195" s="1075"/>
      <c r="H195" s="1075"/>
      <c r="I195" s="1076"/>
      <c r="J195" s="381"/>
      <c r="K195" s="381"/>
      <c r="L195" s="381"/>
      <c r="M195" s="898"/>
      <c r="N195" s="898"/>
      <c r="O195" s="898"/>
      <c r="P195" s="898"/>
      <c r="Q195" s="898"/>
      <c r="R195" s="898"/>
      <c r="S195" s="898"/>
    </row>
    <row r="196" spans="2:19" s="1084" customFormat="1" ht="26.25">
      <c r="B196" s="1077" t="s">
        <v>639</v>
      </c>
      <c r="C196" s="1078" t="s">
        <v>125</v>
      </c>
      <c r="D196" s="1079" t="s">
        <v>641</v>
      </c>
      <c r="E196" s="1079" t="s">
        <v>122</v>
      </c>
      <c r="F196" s="1080" t="s">
        <v>742</v>
      </c>
      <c r="G196" s="1081" t="s">
        <v>10</v>
      </c>
      <c r="H196" s="1082" t="s">
        <v>58</v>
      </c>
      <c r="I196" s="1083" t="s">
        <v>70</v>
      </c>
      <c r="J196" s="381"/>
      <c r="K196" s="381"/>
      <c r="L196" s="381"/>
      <c r="M196" s="898"/>
      <c r="N196" s="898"/>
      <c r="O196" s="898"/>
      <c r="P196" s="898"/>
      <c r="Q196" s="898"/>
      <c r="R196" s="898"/>
      <c r="S196" s="898"/>
    </row>
    <row r="197" spans="2:19" ht="51.75">
      <c r="B197" s="560" t="s">
        <v>879</v>
      </c>
      <c r="C197" s="939" t="s">
        <v>61</v>
      </c>
      <c r="D197" s="939" t="s">
        <v>60</v>
      </c>
      <c r="E197" s="939" t="s">
        <v>59</v>
      </c>
      <c r="F197" s="1080" t="s">
        <v>414</v>
      </c>
      <c r="G197" s="1085"/>
      <c r="H197" s="1086"/>
      <c r="I197" s="1087"/>
      <c r="J197" s="381"/>
      <c r="K197" s="381"/>
      <c r="L197" s="381"/>
      <c r="M197" s="898"/>
      <c r="N197" s="898"/>
      <c r="O197" s="898"/>
      <c r="P197" s="898"/>
      <c r="Q197" s="898"/>
      <c r="R197" s="898"/>
      <c r="S197" s="898"/>
    </row>
    <row r="198" spans="2:19" ht="15" customHeight="1">
      <c r="B198" s="356" t="s">
        <v>116</v>
      </c>
      <c r="C198" s="357">
        <v>10200</v>
      </c>
      <c r="D198" s="1088">
        <v>195</v>
      </c>
      <c r="E198" s="357">
        <v>2238</v>
      </c>
      <c r="F198" s="357">
        <v>196</v>
      </c>
      <c r="G198" s="357">
        <v>280</v>
      </c>
      <c r="H198" s="357">
        <v>196</v>
      </c>
      <c r="I198" s="1089">
        <v>13301</v>
      </c>
      <c r="J198" s="381"/>
      <c r="K198" s="381"/>
      <c r="L198" s="381"/>
      <c r="M198" s="898"/>
      <c r="N198" s="898"/>
      <c r="O198" s="898"/>
      <c r="P198" s="898"/>
      <c r="Q198" s="898"/>
      <c r="R198" s="898"/>
      <c r="S198" s="898"/>
    </row>
    <row r="199" spans="2:19" ht="15" customHeight="1">
      <c r="B199" s="360" t="s">
        <v>115</v>
      </c>
      <c r="C199" s="361">
        <v>6840</v>
      </c>
      <c r="D199" s="450">
        <v>619</v>
      </c>
      <c r="E199" s="361">
        <v>1770</v>
      </c>
      <c r="F199" s="361">
        <v>110</v>
      </c>
      <c r="G199" s="361">
        <v>1571</v>
      </c>
      <c r="H199" s="361">
        <v>122</v>
      </c>
      <c r="I199" s="1090">
        <v>11027</v>
      </c>
      <c r="J199" s="1056"/>
      <c r="M199" s="898"/>
      <c r="N199" s="898"/>
      <c r="O199" s="898"/>
      <c r="P199" s="898"/>
      <c r="Q199" s="898"/>
      <c r="R199" s="898"/>
      <c r="S199" s="898"/>
    </row>
    <row r="200" spans="2:19" ht="15" customHeight="1">
      <c r="B200" s="360" t="s">
        <v>117</v>
      </c>
      <c r="C200" s="361">
        <v>2303</v>
      </c>
      <c r="D200" s="450">
        <v>92</v>
      </c>
      <c r="E200" s="361">
        <v>396</v>
      </c>
      <c r="F200" s="361">
        <v>29</v>
      </c>
      <c r="G200" s="361">
        <v>389</v>
      </c>
      <c r="H200" s="361">
        <v>31</v>
      </c>
      <c r="I200" s="1090">
        <v>3233</v>
      </c>
      <c r="J200" s="1056"/>
      <c r="M200" s="898"/>
      <c r="N200" s="898"/>
      <c r="O200" s="898"/>
      <c r="P200" s="898"/>
      <c r="Q200" s="898"/>
      <c r="R200" s="898"/>
      <c r="S200" s="898"/>
    </row>
    <row r="201" spans="2:19" ht="15" customHeight="1">
      <c r="B201" s="360" t="s">
        <v>119</v>
      </c>
      <c r="C201" s="361">
        <v>1820</v>
      </c>
      <c r="D201" s="450">
        <v>123</v>
      </c>
      <c r="E201" s="361">
        <v>414</v>
      </c>
      <c r="F201" s="361">
        <v>29</v>
      </c>
      <c r="G201" s="361">
        <v>386</v>
      </c>
      <c r="H201" s="361">
        <v>30</v>
      </c>
      <c r="I201" s="1090">
        <v>2805</v>
      </c>
      <c r="J201" s="1056"/>
      <c r="M201" s="898"/>
      <c r="N201" s="898"/>
      <c r="O201" s="898"/>
      <c r="P201" s="898"/>
      <c r="Q201" s="898"/>
      <c r="R201" s="898"/>
      <c r="S201" s="898"/>
    </row>
    <row r="202" spans="2:19" ht="15" customHeight="1">
      <c r="B202" s="360" t="s">
        <v>97</v>
      </c>
      <c r="C202" s="361">
        <v>1143</v>
      </c>
      <c r="D202" s="450">
        <v>103</v>
      </c>
      <c r="E202" s="361">
        <v>252</v>
      </c>
      <c r="F202" s="361">
        <v>17</v>
      </c>
      <c r="G202" s="361">
        <v>204</v>
      </c>
      <c r="H202" s="361">
        <v>17</v>
      </c>
      <c r="I202" s="1090">
        <v>1738</v>
      </c>
      <c r="J202" s="1056"/>
      <c r="M202" s="898"/>
      <c r="N202" s="898"/>
      <c r="O202" s="898"/>
      <c r="P202" s="898"/>
      <c r="Q202" s="898"/>
      <c r="R202" s="898"/>
      <c r="S202" s="898"/>
    </row>
    <row r="203" spans="2:19" ht="15" customHeight="1">
      <c r="B203" s="360" t="s">
        <v>54</v>
      </c>
      <c r="C203" s="361">
        <v>36</v>
      </c>
      <c r="D203" s="450">
        <v>198</v>
      </c>
      <c r="E203" s="361">
        <v>147</v>
      </c>
      <c r="F203" s="361">
        <v>0</v>
      </c>
      <c r="G203" s="361">
        <v>1201</v>
      </c>
      <c r="H203" s="361">
        <v>16</v>
      </c>
      <c r="I203" s="1090">
        <v>1597</v>
      </c>
      <c r="J203" s="1056"/>
      <c r="M203" s="898"/>
      <c r="N203" s="898"/>
      <c r="O203" s="898"/>
      <c r="P203" s="898"/>
      <c r="Q203" s="898"/>
      <c r="R203" s="898"/>
      <c r="S203" s="898"/>
    </row>
    <row r="204" spans="2:19" ht="15" customHeight="1">
      <c r="B204" s="360" t="s">
        <v>121</v>
      </c>
      <c r="C204" s="361">
        <v>240</v>
      </c>
      <c r="D204" s="450">
        <v>118</v>
      </c>
      <c r="E204" s="361">
        <v>93</v>
      </c>
      <c r="F204" s="361">
        <v>10</v>
      </c>
      <c r="G204" s="361">
        <v>342</v>
      </c>
      <c r="H204" s="361">
        <v>10</v>
      </c>
      <c r="I204" s="1090">
        <v>823</v>
      </c>
      <c r="J204" s="1056"/>
      <c r="M204" s="898"/>
      <c r="N204" s="898"/>
      <c r="O204" s="898"/>
      <c r="P204" s="898"/>
      <c r="Q204" s="898"/>
      <c r="R204" s="898"/>
      <c r="S204" s="898"/>
    </row>
    <row r="205" spans="2:19" ht="15" customHeight="1">
      <c r="B205" s="360" t="s">
        <v>98</v>
      </c>
      <c r="C205" s="361">
        <v>450</v>
      </c>
      <c r="D205" s="450">
        <v>89</v>
      </c>
      <c r="E205" s="361">
        <v>103</v>
      </c>
      <c r="F205" s="361">
        <v>10</v>
      </c>
      <c r="G205" s="361">
        <v>55</v>
      </c>
      <c r="H205" s="361">
        <v>0</v>
      </c>
      <c r="I205" s="1090">
        <v>711</v>
      </c>
      <c r="J205" s="1056"/>
      <c r="M205" s="898"/>
      <c r="N205" s="898"/>
      <c r="O205" s="898"/>
      <c r="P205" s="898"/>
      <c r="Q205" s="898"/>
      <c r="R205" s="898"/>
      <c r="S205" s="898"/>
    </row>
    <row r="206" spans="2:19" ht="15" customHeight="1">
      <c r="B206" s="360" t="s">
        <v>120</v>
      </c>
      <c r="C206" s="361">
        <v>12</v>
      </c>
      <c r="D206" s="450">
        <v>102</v>
      </c>
      <c r="E206" s="361">
        <v>29</v>
      </c>
      <c r="F206" s="361">
        <v>0</v>
      </c>
      <c r="G206" s="361">
        <v>494</v>
      </c>
      <c r="H206" s="361">
        <v>3</v>
      </c>
      <c r="I206" s="1090">
        <v>632</v>
      </c>
      <c r="J206" s="1056"/>
      <c r="M206" s="898"/>
      <c r="N206" s="898"/>
      <c r="O206" s="898"/>
      <c r="P206" s="898"/>
      <c r="Q206" s="898"/>
      <c r="R206" s="898"/>
      <c r="S206" s="898"/>
    </row>
    <row r="207" spans="2:19">
      <c r="B207" s="863" t="s">
        <v>118</v>
      </c>
      <c r="C207" s="1091">
        <v>453</v>
      </c>
      <c r="D207" s="1092">
        <v>0</v>
      </c>
      <c r="E207" s="1091">
        <v>52</v>
      </c>
      <c r="F207" s="1091">
        <v>20</v>
      </c>
      <c r="G207" s="1091">
        <v>0</v>
      </c>
      <c r="H207" s="1091">
        <v>15</v>
      </c>
      <c r="I207" s="1093">
        <v>546</v>
      </c>
    </row>
    <row r="209" spans="2:10" ht="23.25">
      <c r="B209" s="127" t="s">
        <v>752</v>
      </c>
      <c r="C209" s="328"/>
      <c r="D209" s="328"/>
      <c r="E209" s="328"/>
      <c r="F209" s="328"/>
      <c r="G209" s="328"/>
      <c r="H209" s="328"/>
      <c r="I209" s="328"/>
    </row>
    <row r="210" spans="2:10" ht="15.75">
      <c r="B210" s="778" t="s">
        <v>329</v>
      </c>
      <c r="C210" s="328"/>
      <c r="D210" s="328"/>
      <c r="E210" s="328"/>
      <c r="F210" s="328"/>
      <c r="G210" s="328"/>
      <c r="H210" s="328"/>
      <c r="I210" s="328"/>
    </row>
    <row r="211" spans="2:10" ht="26.25">
      <c r="B211" s="1094" t="s">
        <v>64</v>
      </c>
      <c r="C211" s="869" t="s">
        <v>37</v>
      </c>
      <c r="D211" s="869" t="s">
        <v>38</v>
      </c>
      <c r="E211" s="869" t="s">
        <v>6</v>
      </c>
      <c r="F211" s="869" t="s">
        <v>1</v>
      </c>
      <c r="G211" s="869" t="s">
        <v>7</v>
      </c>
      <c r="H211" s="869" t="s">
        <v>65</v>
      </c>
      <c r="I211" s="869" t="s">
        <v>8</v>
      </c>
    </row>
    <row r="212" spans="2:10" ht="15" customHeight="1">
      <c r="B212" s="378" t="s">
        <v>149</v>
      </c>
      <c r="C212" s="870">
        <v>6425</v>
      </c>
      <c r="D212" s="870">
        <v>5530</v>
      </c>
      <c r="E212" s="870">
        <v>11954</v>
      </c>
      <c r="F212" s="1095">
        <v>0.35381518972355414</v>
      </c>
      <c r="G212" s="870">
        <v>8040</v>
      </c>
      <c r="H212" s="1096">
        <v>3914</v>
      </c>
      <c r="I212" s="1095">
        <v>0.48681592039800997</v>
      </c>
    </row>
    <row r="213" spans="2:10" ht="15" customHeight="1">
      <c r="B213" s="381" t="s">
        <v>150</v>
      </c>
      <c r="C213" s="874">
        <v>3728</v>
      </c>
      <c r="D213" s="874">
        <v>3958</v>
      </c>
      <c r="E213" s="874">
        <v>7689</v>
      </c>
      <c r="F213" s="1097">
        <v>0.22757947078671639</v>
      </c>
      <c r="G213" s="874">
        <v>6483</v>
      </c>
      <c r="H213" s="1098">
        <v>1206</v>
      </c>
      <c r="I213" s="1097">
        <v>0.18602498843128182</v>
      </c>
    </row>
    <row r="214" spans="2:10" ht="15" customHeight="1">
      <c r="B214" s="381" t="s">
        <v>151</v>
      </c>
      <c r="C214" s="874">
        <v>1535</v>
      </c>
      <c r="D214" s="874">
        <v>1668</v>
      </c>
      <c r="E214" s="874">
        <v>3201</v>
      </c>
      <c r="F214" s="1097">
        <v>9.4743384833954891E-2</v>
      </c>
      <c r="G214" s="874">
        <v>3900</v>
      </c>
      <c r="H214" s="1098">
        <v>-699</v>
      </c>
      <c r="I214" s="1097">
        <v>-0.17923076923076922</v>
      </c>
    </row>
    <row r="215" spans="2:10" ht="15" customHeight="1">
      <c r="B215" s="381" t="s">
        <v>153</v>
      </c>
      <c r="C215" s="874">
        <v>471</v>
      </c>
      <c r="D215" s="874">
        <v>587</v>
      </c>
      <c r="E215" s="874">
        <v>1058</v>
      </c>
      <c r="F215" s="1097">
        <v>3.1314745752678626E-2</v>
      </c>
      <c r="G215" s="874">
        <v>1297</v>
      </c>
      <c r="H215" s="1098">
        <v>-239</v>
      </c>
      <c r="I215" s="1097">
        <v>-0.18427139552814187</v>
      </c>
    </row>
    <row r="216" spans="2:10" ht="15" customHeight="1">
      <c r="B216" s="381" t="s">
        <v>152</v>
      </c>
      <c r="C216" s="874">
        <v>139</v>
      </c>
      <c r="D216" s="874">
        <v>162</v>
      </c>
      <c r="E216" s="874">
        <v>298</v>
      </c>
      <c r="F216" s="1097">
        <v>8.8202213934765877E-3</v>
      </c>
      <c r="G216" s="874">
        <v>463</v>
      </c>
      <c r="H216" s="1098">
        <v>-165</v>
      </c>
      <c r="I216" s="1097">
        <v>-0.35637149028077753</v>
      </c>
    </row>
    <row r="217" spans="2:10" ht="15" customHeight="1">
      <c r="B217" s="381" t="s">
        <v>154</v>
      </c>
      <c r="C217" s="874">
        <v>271</v>
      </c>
      <c r="D217" s="874">
        <v>292</v>
      </c>
      <c r="E217" s="874">
        <v>562</v>
      </c>
      <c r="F217" s="1097">
        <v>1.663410880246256E-2</v>
      </c>
      <c r="G217" s="874">
        <v>412</v>
      </c>
      <c r="H217" s="1098">
        <v>150</v>
      </c>
      <c r="I217" s="1097">
        <v>0.36407766990291263</v>
      </c>
    </row>
    <row r="218" spans="2:10" ht="15" customHeight="1">
      <c r="B218" s="381" t="s">
        <v>156</v>
      </c>
      <c r="C218" s="874">
        <v>291</v>
      </c>
      <c r="D218" s="874">
        <v>411</v>
      </c>
      <c r="E218" s="874">
        <v>702</v>
      </c>
      <c r="F218" s="1097">
        <v>2.0777836973894511E-2</v>
      </c>
      <c r="G218" s="874">
        <v>503</v>
      </c>
      <c r="H218" s="1098">
        <v>199</v>
      </c>
      <c r="I218" s="1097">
        <v>0.39562624254473161</v>
      </c>
    </row>
    <row r="219" spans="2:10" ht="15" customHeight="1">
      <c r="B219" s="381" t="s">
        <v>166</v>
      </c>
      <c r="C219" s="874">
        <v>222</v>
      </c>
      <c r="D219" s="874">
        <v>206</v>
      </c>
      <c r="E219" s="874">
        <v>435</v>
      </c>
      <c r="F219" s="1097">
        <v>1.2875155389806429E-2</v>
      </c>
      <c r="G219" s="874">
        <v>303</v>
      </c>
      <c r="H219" s="1098">
        <v>132</v>
      </c>
      <c r="I219" s="1097">
        <v>0.43564356435643564</v>
      </c>
    </row>
    <row r="220" spans="2:10" ht="15" customHeight="1">
      <c r="B220" s="381" t="s">
        <v>158</v>
      </c>
      <c r="C220" s="874">
        <v>287</v>
      </c>
      <c r="D220" s="874">
        <v>269</v>
      </c>
      <c r="E220" s="874">
        <v>562</v>
      </c>
      <c r="F220" s="1097">
        <v>1.663410880246256E-2</v>
      </c>
      <c r="G220" s="874">
        <v>208</v>
      </c>
      <c r="H220" s="1098">
        <v>354</v>
      </c>
      <c r="I220" s="1097">
        <v>1.7019230769230769</v>
      </c>
    </row>
    <row r="221" spans="2:10" ht="15" customHeight="1">
      <c r="B221" s="381" t="s">
        <v>164</v>
      </c>
      <c r="C221" s="874">
        <v>6</v>
      </c>
      <c r="D221" s="874">
        <v>7</v>
      </c>
      <c r="E221" s="874">
        <v>17</v>
      </c>
      <c r="F221" s="1097">
        <v>5.0316699224530869E-4</v>
      </c>
      <c r="G221" s="874">
        <v>20</v>
      </c>
      <c r="H221" s="1098">
        <v>-3</v>
      </c>
      <c r="I221" s="1097">
        <v>-0.15</v>
      </c>
    </row>
    <row r="222" spans="2:10" ht="15" customHeight="1">
      <c r="B222" s="381" t="s">
        <v>155</v>
      </c>
      <c r="C222" s="874">
        <v>272</v>
      </c>
      <c r="D222" s="874">
        <v>321</v>
      </c>
      <c r="E222" s="874">
        <v>596</v>
      </c>
      <c r="F222" s="1097">
        <v>1.7640442786953175E-2</v>
      </c>
      <c r="G222" s="874">
        <v>364</v>
      </c>
      <c r="H222" s="1098">
        <v>232</v>
      </c>
      <c r="I222" s="1097">
        <v>0.63736263736263732</v>
      </c>
    </row>
    <row r="223" spans="2:10" ht="15" customHeight="1">
      <c r="B223" s="381" t="s">
        <v>162</v>
      </c>
      <c r="C223" s="874">
        <v>67</v>
      </c>
      <c r="D223" s="874">
        <v>89</v>
      </c>
      <c r="E223" s="874">
        <v>156</v>
      </c>
      <c r="F223" s="1097">
        <v>4.6172971053098913E-3</v>
      </c>
      <c r="G223" s="874">
        <v>96</v>
      </c>
      <c r="H223" s="1098">
        <v>60</v>
      </c>
      <c r="I223" s="1097">
        <v>0.625</v>
      </c>
      <c r="J223" s="328"/>
    </row>
    <row r="224" spans="2:10" ht="15" customHeight="1">
      <c r="B224" s="381" t="s">
        <v>157</v>
      </c>
      <c r="C224" s="874">
        <v>208</v>
      </c>
      <c r="D224" s="874">
        <v>234</v>
      </c>
      <c r="E224" s="874">
        <v>441</v>
      </c>
      <c r="F224" s="1097">
        <v>1.3052743740010656E-2</v>
      </c>
      <c r="G224" s="874">
        <v>510</v>
      </c>
      <c r="H224" s="1098">
        <v>-69</v>
      </c>
      <c r="I224" s="1097">
        <v>-0.13529411764705881</v>
      </c>
      <c r="J224" s="328"/>
    </row>
    <row r="225" spans="2:11" ht="15" customHeight="1">
      <c r="B225" s="381" t="s">
        <v>161</v>
      </c>
      <c r="C225" s="874">
        <v>206</v>
      </c>
      <c r="D225" s="874">
        <v>206</v>
      </c>
      <c r="E225" s="874">
        <v>416</v>
      </c>
      <c r="F225" s="1097">
        <v>1.2312792280826377E-2</v>
      </c>
      <c r="G225" s="874">
        <v>210</v>
      </c>
      <c r="H225" s="1098">
        <v>206</v>
      </c>
      <c r="I225" s="1097">
        <v>0.98095238095238091</v>
      </c>
      <c r="J225" s="328"/>
    </row>
    <row r="226" spans="2:11" ht="15" customHeight="1">
      <c r="B226" s="381" t="s">
        <v>160</v>
      </c>
      <c r="C226" s="874">
        <v>58</v>
      </c>
      <c r="D226" s="874">
        <v>46</v>
      </c>
      <c r="E226" s="874">
        <v>106</v>
      </c>
      <c r="F226" s="1097">
        <v>3.1373941869413365E-3</v>
      </c>
      <c r="G226" s="874">
        <v>17</v>
      </c>
      <c r="H226" s="1098">
        <v>89</v>
      </c>
      <c r="I226" s="1097">
        <v>5.2352941176470589</v>
      </c>
      <c r="J226" s="328"/>
    </row>
    <row r="227" spans="2:11" ht="15" customHeight="1">
      <c r="B227" s="381" t="s">
        <v>163</v>
      </c>
      <c r="C227" s="874">
        <v>55</v>
      </c>
      <c r="D227" s="874">
        <v>52</v>
      </c>
      <c r="E227" s="874">
        <v>103</v>
      </c>
      <c r="F227" s="1097">
        <v>3.0486000118392234E-3</v>
      </c>
      <c r="G227" s="874">
        <v>71</v>
      </c>
      <c r="H227" s="1098">
        <v>32</v>
      </c>
      <c r="I227" s="1097">
        <v>0.45070422535211269</v>
      </c>
      <c r="J227" s="328"/>
    </row>
    <row r="228" spans="2:11" ht="15" customHeight="1">
      <c r="B228" s="381" t="s">
        <v>159</v>
      </c>
      <c r="C228" s="874">
        <v>58</v>
      </c>
      <c r="D228" s="874">
        <v>56</v>
      </c>
      <c r="E228" s="874">
        <v>113</v>
      </c>
      <c r="F228" s="1097">
        <v>3.3445805955129343E-3</v>
      </c>
      <c r="G228" s="874">
        <v>78</v>
      </c>
      <c r="H228" s="1098">
        <v>35</v>
      </c>
      <c r="I228" s="1097">
        <v>0.44871794871794873</v>
      </c>
      <c r="J228" s="328"/>
    </row>
    <row r="229" spans="2:11" s="737" customFormat="1" ht="15" customHeight="1">
      <c r="B229" s="381" t="s">
        <v>168</v>
      </c>
      <c r="C229" s="874">
        <v>48</v>
      </c>
      <c r="D229" s="874">
        <v>51</v>
      </c>
      <c r="E229" s="874">
        <v>93</v>
      </c>
      <c r="F229" s="1097">
        <v>2.7526194281655121E-3</v>
      </c>
      <c r="G229" s="874">
        <v>75</v>
      </c>
      <c r="H229" s="1098">
        <v>18</v>
      </c>
      <c r="I229" s="1097">
        <v>0.24</v>
      </c>
      <c r="J229" s="882"/>
    </row>
    <row r="230" spans="2:11" s="737" customFormat="1" ht="15" customHeight="1">
      <c r="B230" s="381" t="s">
        <v>167</v>
      </c>
      <c r="C230" s="874">
        <v>25</v>
      </c>
      <c r="D230" s="874">
        <v>34</v>
      </c>
      <c r="E230" s="874">
        <v>59</v>
      </c>
      <c r="F230" s="1097">
        <v>1.746285443674895E-3</v>
      </c>
      <c r="G230" s="874">
        <v>88</v>
      </c>
      <c r="H230" s="1098">
        <v>-29</v>
      </c>
      <c r="I230" s="1097">
        <v>-0.32954545454545453</v>
      </c>
      <c r="J230" s="882"/>
    </row>
    <row r="231" spans="2:11" ht="15" customHeight="1">
      <c r="B231" s="381" t="s">
        <v>165</v>
      </c>
      <c r="C231" s="874">
        <v>50</v>
      </c>
      <c r="D231" s="874">
        <v>47</v>
      </c>
      <c r="E231" s="874">
        <v>94</v>
      </c>
      <c r="F231" s="1097">
        <v>2.7822174865328834E-3</v>
      </c>
      <c r="G231" s="1099" t="s">
        <v>94</v>
      </c>
      <c r="H231" s="1099" t="s">
        <v>94</v>
      </c>
      <c r="I231" s="1100" t="s">
        <v>94</v>
      </c>
      <c r="J231" s="328"/>
    </row>
    <row r="232" spans="2:11" ht="15.75">
      <c r="B232" s="381" t="s">
        <v>433</v>
      </c>
      <c r="C232" s="874">
        <v>729</v>
      </c>
      <c r="D232" s="874">
        <v>672</v>
      </c>
      <c r="E232" s="874">
        <v>1389</v>
      </c>
      <c r="F232" s="1097">
        <v>4.111170307227846E-2</v>
      </c>
      <c r="G232" s="1099" t="s">
        <v>94</v>
      </c>
      <c r="H232" s="1099" t="s">
        <v>94</v>
      </c>
      <c r="I232" s="1100" t="s">
        <v>94</v>
      </c>
      <c r="J232" s="328"/>
    </row>
    <row r="233" spans="2:11" s="737" customFormat="1" ht="15.75">
      <c r="B233" s="899" t="s">
        <v>58</v>
      </c>
      <c r="C233" s="883">
        <v>1891</v>
      </c>
      <c r="D233" s="883">
        <v>1848</v>
      </c>
      <c r="E233" s="883">
        <v>3742</v>
      </c>
      <c r="F233" s="1101">
        <v>0.11075593441070265</v>
      </c>
      <c r="G233" s="883">
        <v>3464</v>
      </c>
      <c r="H233" s="1102">
        <v>278</v>
      </c>
      <c r="I233" s="1103">
        <v>8.0254041570438805E-2</v>
      </c>
      <c r="J233" s="882"/>
    </row>
    <row r="234" spans="2:11" ht="15.75">
      <c r="B234" s="1034" t="s">
        <v>28</v>
      </c>
      <c r="C234" s="1035">
        <v>17042</v>
      </c>
      <c r="D234" s="1035">
        <v>16746</v>
      </c>
      <c r="E234" s="1035">
        <v>33786</v>
      </c>
      <c r="F234" s="1104">
        <v>1</v>
      </c>
      <c r="G234" s="1035">
        <v>27705</v>
      </c>
      <c r="H234" s="1105">
        <v>6081</v>
      </c>
      <c r="I234" s="1106">
        <v>0.21949106659447754</v>
      </c>
      <c r="J234" s="328"/>
    </row>
    <row r="235" spans="2:11" ht="15.75">
      <c r="B235" s="1056"/>
      <c r="C235" s="895"/>
      <c r="D235" s="895"/>
      <c r="E235" s="895"/>
      <c r="F235" s="1008"/>
      <c r="G235" s="895"/>
      <c r="H235" s="1008"/>
      <c r="I235" s="1008"/>
      <c r="J235" s="328"/>
    </row>
    <row r="236" spans="2:11" ht="15.75">
      <c r="B236" s="778" t="s">
        <v>63</v>
      </c>
      <c r="C236" s="895"/>
      <c r="D236" s="895"/>
      <c r="E236" s="895"/>
      <c r="F236" s="1008"/>
      <c r="G236" s="895"/>
      <c r="H236" s="1008"/>
      <c r="I236" s="1008"/>
      <c r="J236" s="328"/>
    </row>
    <row r="237" spans="2:11" ht="15.75">
      <c r="B237" s="778" t="s">
        <v>827</v>
      </c>
      <c r="C237" s="895"/>
      <c r="D237" s="895"/>
      <c r="E237" s="895"/>
      <c r="F237" s="1008"/>
      <c r="G237" s="895"/>
      <c r="H237" s="1008"/>
      <c r="I237" s="1008"/>
      <c r="J237" s="328"/>
    </row>
    <row r="238" spans="2:11" ht="15.75">
      <c r="B238" s="1026"/>
      <c r="C238" s="1264" t="s">
        <v>14</v>
      </c>
      <c r="D238" s="1264"/>
      <c r="E238" s="1265"/>
      <c r="F238" s="1266" t="s">
        <v>415</v>
      </c>
      <c r="G238" s="1264"/>
      <c r="H238" s="1264"/>
      <c r="I238" s="1264"/>
      <c r="J238" s="1264"/>
      <c r="K238" s="1267"/>
    </row>
    <row r="239" spans="2:11">
      <c r="B239" s="1107" t="s">
        <v>64</v>
      </c>
      <c r="C239" s="1108" t="s">
        <v>29</v>
      </c>
      <c r="D239" s="1108" t="s">
        <v>67</v>
      </c>
      <c r="E239" s="1109" t="s">
        <v>58</v>
      </c>
      <c r="F239" s="1108" t="s">
        <v>23</v>
      </c>
      <c r="G239" s="1108" t="s">
        <v>24</v>
      </c>
      <c r="H239" s="1108" t="s">
        <v>25</v>
      </c>
      <c r="I239" s="1108" t="s">
        <v>69</v>
      </c>
      <c r="J239" s="1108" t="s">
        <v>27</v>
      </c>
      <c r="K239" s="1108" t="s">
        <v>28</v>
      </c>
    </row>
    <row r="240" spans="2:11">
      <c r="B240" s="378" t="s">
        <v>149</v>
      </c>
      <c r="C240" s="357">
        <v>10425</v>
      </c>
      <c r="D240" s="357">
        <v>1377</v>
      </c>
      <c r="E240" s="357">
        <v>144</v>
      </c>
      <c r="F240" s="357">
        <v>3413</v>
      </c>
      <c r="G240" s="357">
        <v>1930</v>
      </c>
      <c r="H240" s="357">
        <v>4484</v>
      </c>
      <c r="I240" s="357">
        <v>1786</v>
      </c>
      <c r="J240" s="357">
        <v>331</v>
      </c>
      <c r="K240" s="357">
        <v>11954</v>
      </c>
    </row>
    <row r="241" spans="2:11">
      <c r="B241" s="381" t="s">
        <v>150</v>
      </c>
      <c r="C241" s="361">
        <v>5558</v>
      </c>
      <c r="D241" s="361">
        <v>2012</v>
      </c>
      <c r="E241" s="361">
        <v>122</v>
      </c>
      <c r="F241" s="361">
        <v>1999</v>
      </c>
      <c r="G241" s="361">
        <v>1038</v>
      </c>
      <c r="H241" s="361">
        <v>2841</v>
      </c>
      <c r="I241" s="361">
        <v>1485</v>
      </c>
      <c r="J241" s="361">
        <v>332</v>
      </c>
      <c r="K241" s="361">
        <v>7689</v>
      </c>
    </row>
    <row r="242" spans="2:11">
      <c r="B242" s="381" t="s">
        <v>151</v>
      </c>
      <c r="C242" s="361">
        <v>2619</v>
      </c>
      <c r="D242" s="361">
        <v>514</v>
      </c>
      <c r="E242" s="361">
        <v>70</v>
      </c>
      <c r="F242" s="361">
        <v>553</v>
      </c>
      <c r="G242" s="361">
        <v>329</v>
      </c>
      <c r="H242" s="361">
        <v>1012</v>
      </c>
      <c r="I242" s="361">
        <v>1010</v>
      </c>
      <c r="J242" s="361">
        <v>300</v>
      </c>
      <c r="K242" s="361">
        <v>3201</v>
      </c>
    </row>
    <row r="243" spans="2:11">
      <c r="B243" s="381" t="s">
        <v>153</v>
      </c>
      <c r="C243" s="361">
        <v>914</v>
      </c>
      <c r="D243" s="361">
        <v>131</v>
      </c>
      <c r="E243" s="361">
        <v>12</v>
      </c>
      <c r="F243" s="361">
        <v>213</v>
      </c>
      <c r="G243" s="361">
        <v>132</v>
      </c>
      <c r="H243" s="361">
        <v>323</v>
      </c>
      <c r="I243" s="361">
        <v>310</v>
      </c>
      <c r="J243" s="361">
        <v>77</v>
      </c>
      <c r="K243" s="361">
        <v>1058</v>
      </c>
    </row>
    <row r="244" spans="2:11">
      <c r="B244" s="381" t="s">
        <v>152</v>
      </c>
      <c r="C244" s="361">
        <v>263</v>
      </c>
      <c r="D244" s="361">
        <v>36</v>
      </c>
      <c r="E244" s="450">
        <v>0</v>
      </c>
      <c r="F244" s="361">
        <v>89</v>
      </c>
      <c r="G244" s="361">
        <v>40</v>
      </c>
      <c r="H244" s="361">
        <v>77</v>
      </c>
      <c r="I244" s="361">
        <v>59</v>
      </c>
      <c r="J244" s="361">
        <v>31</v>
      </c>
      <c r="K244" s="361">
        <v>298</v>
      </c>
    </row>
    <row r="245" spans="2:11">
      <c r="B245" s="381" t="s">
        <v>154</v>
      </c>
      <c r="C245" s="361">
        <v>382</v>
      </c>
      <c r="D245" s="361">
        <v>163</v>
      </c>
      <c r="E245" s="361">
        <v>6</v>
      </c>
      <c r="F245" s="361">
        <v>151</v>
      </c>
      <c r="G245" s="361">
        <v>67</v>
      </c>
      <c r="H245" s="361">
        <v>195</v>
      </c>
      <c r="I245" s="361">
        <v>123</v>
      </c>
      <c r="J245" s="361">
        <v>17</v>
      </c>
      <c r="K245" s="361">
        <v>562</v>
      </c>
    </row>
    <row r="246" spans="2:11">
      <c r="B246" s="381" t="s">
        <v>156</v>
      </c>
      <c r="C246" s="361">
        <v>263</v>
      </c>
      <c r="D246" s="361">
        <v>428</v>
      </c>
      <c r="E246" s="361">
        <v>10</v>
      </c>
      <c r="F246" s="361">
        <v>147</v>
      </c>
      <c r="G246" s="361">
        <v>72</v>
      </c>
      <c r="H246" s="361">
        <v>281</v>
      </c>
      <c r="I246" s="361">
        <v>178</v>
      </c>
      <c r="J246" s="361">
        <v>26</v>
      </c>
      <c r="K246" s="361">
        <v>702</v>
      </c>
    </row>
    <row r="247" spans="2:11">
      <c r="B247" s="381" t="s">
        <v>166</v>
      </c>
      <c r="C247" s="361">
        <v>327</v>
      </c>
      <c r="D247" s="361">
        <v>105</v>
      </c>
      <c r="E247" s="450">
        <v>0</v>
      </c>
      <c r="F247" s="361">
        <v>145</v>
      </c>
      <c r="G247" s="361">
        <v>54</v>
      </c>
      <c r="H247" s="361">
        <v>162</v>
      </c>
      <c r="I247" s="361">
        <v>67</v>
      </c>
      <c r="J247" s="361">
        <v>14</v>
      </c>
      <c r="K247" s="361">
        <v>435</v>
      </c>
    </row>
    <row r="248" spans="2:11">
      <c r="B248" s="381" t="s">
        <v>158</v>
      </c>
      <c r="C248" s="361">
        <v>106</v>
      </c>
      <c r="D248" s="361">
        <v>449</v>
      </c>
      <c r="E248" s="361">
        <v>3</v>
      </c>
      <c r="F248" s="361">
        <v>162</v>
      </c>
      <c r="G248" s="361">
        <v>42</v>
      </c>
      <c r="H248" s="361">
        <v>304</v>
      </c>
      <c r="I248" s="361">
        <v>52</v>
      </c>
      <c r="J248" s="361">
        <v>5</v>
      </c>
      <c r="K248" s="361">
        <v>562</v>
      </c>
    </row>
    <row r="249" spans="2:11">
      <c r="B249" s="381" t="s">
        <v>164</v>
      </c>
      <c r="C249" s="361">
        <v>17</v>
      </c>
      <c r="D249" s="361" t="s">
        <v>94</v>
      </c>
      <c r="E249" s="450">
        <v>0</v>
      </c>
      <c r="F249" s="361">
        <v>5</v>
      </c>
      <c r="G249" s="361">
        <v>4</v>
      </c>
      <c r="H249" s="361">
        <v>3</v>
      </c>
      <c r="I249" s="361">
        <v>0</v>
      </c>
      <c r="J249" s="361">
        <v>0</v>
      </c>
      <c r="K249" s="361">
        <v>17</v>
      </c>
    </row>
    <row r="250" spans="2:11">
      <c r="B250" s="381" t="s">
        <v>155</v>
      </c>
      <c r="C250" s="361">
        <v>399</v>
      </c>
      <c r="D250" s="361">
        <v>199</v>
      </c>
      <c r="E250" s="361">
        <v>4</v>
      </c>
      <c r="F250" s="361">
        <v>183</v>
      </c>
      <c r="G250" s="361">
        <v>84</v>
      </c>
      <c r="H250" s="361">
        <v>200</v>
      </c>
      <c r="I250" s="361">
        <v>106</v>
      </c>
      <c r="J250" s="361">
        <v>35</v>
      </c>
      <c r="K250" s="361">
        <v>596</v>
      </c>
    </row>
    <row r="251" spans="2:11">
      <c r="B251" s="381" t="s">
        <v>162</v>
      </c>
      <c r="C251" s="361">
        <v>62</v>
      </c>
      <c r="D251" s="361">
        <v>91</v>
      </c>
      <c r="E251" s="450">
        <v>0</v>
      </c>
      <c r="F251" s="361">
        <v>28</v>
      </c>
      <c r="G251" s="361">
        <v>18</v>
      </c>
      <c r="H251" s="361">
        <v>57</v>
      </c>
      <c r="I251" s="361">
        <v>48</v>
      </c>
      <c r="J251" s="361">
        <v>7</v>
      </c>
      <c r="K251" s="361">
        <v>156</v>
      </c>
    </row>
    <row r="252" spans="2:11">
      <c r="B252" s="381" t="s">
        <v>157</v>
      </c>
      <c r="C252" s="361">
        <v>314</v>
      </c>
      <c r="D252" s="361">
        <v>122</v>
      </c>
      <c r="E252" s="361">
        <v>3</v>
      </c>
      <c r="F252" s="361">
        <v>58</v>
      </c>
      <c r="G252" s="361">
        <v>29</v>
      </c>
      <c r="H252" s="361">
        <v>106</v>
      </c>
      <c r="I252" s="361">
        <v>175</v>
      </c>
      <c r="J252" s="361">
        <v>68</v>
      </c>
      <c r="K252" s="361">
        <v>441</v>
      </c>
    </row>
    <row r="253" spans="2:11">
      <c r="B253" s="381" t="s">
        <v>161</v>
      </c>
      <c r="C253" s="361">
        <v>114</v>
      </c>
      <c r="D253" s="361">
        <v>296</v>
      </c>
      <c r="E253" s="361">
        <v>4</v>
      </c>
      <c r="F253" s="361">
        <v>124</v>
      </c>
      <c r="G253" s="361">
        <v>33</v>
      </c>
      <c r="H253" s="361">
        <v>183</v>
      </c>
      <c r="I253" s="361">
        <v>60</v>
      </c>
      <c r="J253" s="361">
        <v>6</v>
      </c>
      <c r="K253" s="361">
        <v>416</v>
      </c>
    </row>
    <row r="254" spans="2:11">
      <c r="B254" s="381" t="s">
        <v>160</v>
      </c>
      <c r="C254" s="361">
        <v>26</v>
      </c>
      <c r="D254" s="361">
        <v>85</v>
      </c>
      <c r="E254" s="450">
        <v>0</v>
      </c>
      <c r="F254" s="361">
        <v>29</v>
      </c>
      <c r="G254" s="361">
        <v>7</v>
      </c>
      <c r="H254" s="361">
        <v>66</v>
      </c>
      <c r="I254" s="361">
        <v>5</v>
      </c>
      <c r="J254" s="361">
        <v>4</v>
      </c>
      <c r="K254" s="361">
        <v>106</v>
      </c>
    </row>
    <row r="255" spans="2:11">
      <c r="B255" s="381" t="s">
        <v>163</v>
      </c>
      <c r="C255" s="361">
        <v>53</v>
      </c>
      <c r="D255" s="361">
        <v>48</v>
      </c>
      <c r="E255" s="361">
        <v>3</v>
      </c>
      <c r="F255" s="361">
        <v>24</v>
      </c>
      <c r="G255" s="361">
        <v>17</v>
      </c>
      <c r="H255" s="361">
        <v>32</v>
      </c>
      <c r="I255" s="361">
        <v>18</v>
      </c>
      <c r="J255" s="361">
        <v>15</v>
      </c>
      <c r="K255" s="361">
        <v>103</v>
      </c>
    </row>
    <row r="256" spans="2:11">
      <c r="B256" s="381" t="s">
        <v>159</v>
      </c>
      <c r="C256" s="361">
        <v>74</v>
      </c>
      <c r="D256" s="361">
        <v>40</v>
      </c>
      <c r="E256" s="450">
        <v>0</v>
      </c>
      <c r="F256" s="361">
        <v>34</v>
      </c>
      <c r="G256" s="361">
        <v>12</v>
      </c>
      <c r="H256" s="361">
        <v>33</v>
      </c>
      <c r="I256" s="361">
        <v>29</v>
      </c>
      <c r="J256" s="361">
        <v>5</v>
      </c>
      <c r="K256" s="361">
        <v>113</v>
      </c>
    </row>
    <row r="257" spans="2:11">
      <c r="B257" s="381" t="s">
        <v>168</v>
      </c>
      <c r="C257" s="361">
        <v>79</v>
      </c>
      <c r="D257" s="361">
        <v>20</v>
      </c>
      <c r="E257" s="450">
        <v>0</v>
      </c>
      <c r="F257" s="361">
        <v>25</v>
      </c>
      <c r="G257" s="361">
        <v>15</v>
      </c>
      <c r="H257" s="361">
        <v>32</v>
      </c>
      <c r="I257" s="361">
        <v>21</v>
      </c>
      <c r="J257" s="361">
        <v>11</v>
      </c>
      <c r="K257" s="361">
        <v>93</v>
      </c>
    </row>
    <row r="258" spans="2:11">
      <c r="B258" s="381" t="s">
        <v>167</v>
      </c>
      <c r="C258" s="361">
        <v>49</v>
      </c>
      <c r="D258" s="361">
        <v>6</v>
      </c>
      <c r="E258" s="361">
        <v>4</v>
      </c>
      <c r="F258" s="361">
        <v>14</v>
      </c>
      <c r="G258" s="361">
        <v>4</v>
      </c>
      <c r="H258" s="361">
        <v>22</v>
      </c>
      <c r="I258" s="361">
        <v>17</v>
      </c>
      <c r="J258" s="361">
        <v>6</v>
      </c>
      <c r="K258" s="361">
        <v>59</v>
      </c>
    </row>
    <row r="259" spans="2:11">
      <c r="B259" s="381" t="s">
        <v>165</v>
      </c>
      <c r="C259" s="361">
        <v>84</v>
      </c>
      <c r="D259" s="361">
        <v>14</v>
      </c>
      <c r="E259" s="450">
        <v>0</v>
      </c>
      <c r="F259" s="361">
        <v>10</v>
      </c>
      <c r="G259" s="361">
        <v>16</v>
      </c>
      <c r="H259" s="361">
        <v>48</v>
      </c>
      <c r="I259" s="361">
        <v>18</v>
      </c>
      <c r="J259" s="361">
        <v>6</v>
      </c>
      <c r="K259" s="361">
        <v>94</v>
      </c>
    </row>
    <row r="260" spans="2:11" ht="15" customHeight="1">
      <c r="B260" s="381" t="s">
        <v>71</v>
      </c>
      <c r="C260" s="361">
        <v>881</v>
      </c>
      <c r="D260" s="361">
        <v>492</v>
      </c>
      <c r="E260" s="361">
        <v>27</v>
      </c>
      <c r="F260" s="361">
        <v>347</v>
      </c>
      <c r="G260" s="361">
        <v>198</v>
      </c>
      <c r="H260" s="361">
        <v>517</v>
      </c>
      <c r="I260" s="361">
        <v>272</v>
      </c>
      <c r="J260" s="361">
        <v>38</v>
      </c>
      <c r="K260" s="361">
        <v>1389</v>
      </c>
    </row>
    <row r="261" spans="2:11" s="737" customFormat="1" ht="15" customHeight="1">
      <c r="B261" s="899" t="s">
        <v>58</v>
      </c>
      <c r="C261" s="964">
        <v>842</v>
      </c>
      <c r="D261" s="964">
        <v>221</v>
      </c>
      <c r="E261" s="964">
        <v>2680</v>
      </c>
      <c r="F261" s="964">
        <v>960</v>
      </c>
      <c r="G261" s="964">
        <v>531</v>
      </c>
      <c r="H261" s="964">
        <v>1289</v>
      </c>
      <c r="I261" s="964">
        <v>756</v>
      </c>
      <c r="J261" s="964">
        <v>208</v>
      </c>
      <c r="K261" s="1110">
        <v>3742</v>
      </c>
    </row>
    <row r="262" spans="2:11" s="1112" customFormat="1" ht="15" customHeight="1">
      <c r="B262" s="1034" t="s">
        <v>72</v>
      </c>
      <c r="C262" s="968">
        <v>23851</v>
      </c>
      <c r="D262" s="968">
        <v>6849</v>
      </c>
      <c r="E262" s="968">
        <v>3092</v>
      </c>
      <c r="F262" s="968">
        <v>8713</v>
      </c>
      <c r="G262" s="968">
        <v>4672</v>
      </c>
      <c r="H262" s="968">
        <v>12267</v>
      </c>
      <c r="I262" s="968">
        <v>6595</v>
      </c>
      <c r="J262" s="968">
        <v>1542</v>
      </c>
      <c r="K262" s="1111">
        <v>33786</v>
      </c>
    </row>
    <row r="264" spans="2:11" ht="15.75">
      <c r="B264" s="905"/>
      <c r="C264" s="328"/>
      <c r="D264" s="328"/>
      <c r="E264" s="328"/>
      <c r="F264" s="328"/>
      <c r="G264" s="328"/>
      <c r="H264" s="328"/>
      <c r="I264" s="328"/>
      <c r="J264" s="328"/>
      <c r="K264" s="328"/>
    </row>
    <row r="265" spans="2:11" ht="15.75">
      <c r="B265" s="906"/>
      <c r="C265" s="328"/>
      <c r="D265" s="328"/>
      <c r="E265" s="328"/>
      <c r="F265" s="328"/>
      <c r="G265" s="328"/>
      <c r="H265" s="328"/>
      <c r="I265" s="328"/>
      <c r="J265" s="328"/>
      <c r="K265" s="285" t="s">
        <v>642</v>
      </c>
    </row>
    <row r="266" spans="2:11" ht="15.75">
      <c r="B266" s="499" t="s">
        <v>857</v>
      </c>
      <c r="C266" s="500"/>
      <c r="D266" s="500"/>
      <c r="E266" s="500"/>
      <c r="F266" s="500"/>
      <c r="G266" s="500"/>
      <c r="H266" s="500"/>
      <c r="I266" s="500"/>
      <c r="J266" s="501"/>
    </row>
    <row r="267" spans="2:11" ht="15.75">
      <c r="B267" s="502" t="s">
        <v>424</v>
      </c>
      <c r="C267" s="503"/>
      <c r="D267" s="503"/>
      <c r="E267" s="503"/>
      <c r="F267" s="503"/>
      <c r="G267" s="503"/>
      <c r="H267" s="503"/>
      <c r="I267" s="503"/>
      <c r="J267" s="504"/>
    </row>
    <row r="268" spans="2:11" ht="15.75">
      <c r="B268" s="505" t="s">
        <v>824</v>
      </c>
      <c r="C268" s="506"/>
      <c r="D268" s="506"/>
      <c r="E268" s="506"/>
      <c r="F268" s="506"/>
      <c r="G268" s="506"/>
      <c r="H268" s="506"/>
      <c r="I268" s="506"/>
      <c r="J268" s="507"/>
    </row>
  </sheetData>
  <sheetProtection password="C6DE" sheet="1" objects="1" scenarios="1"/>
  <mergeCells count="28">
    <mergeCell ref="J35:K35"/>
    <mergeCell ref="J1:K1"/>
    <mergeCell ref="J31:K31"/>
    <mergeCell ref="J32:K32"/>
    <mergeCell ref="J33:K33"/>
    <mergeCell ref="J34:K34"/>
    <mergeCell ref="J47:K47"/>
    <mergeCell ref="J36:K36"/>
    <mergeCell ref="J37:K37"/>
    <mergeCell ref="J38:K38"/>
    <mergeCell ref="J39:K39"/>
    <mergeCell ref="J40:K40"/>
    <mergeCell ref="J41:K41"/>
    <mergeCell ref="J42:K42"/>
    <mergeCell ref="J43:K43"/>
    <mergeCell ref="J44:K44"/>
    <mergeCell ref="J45:K45"/>
    <mergeCell ref="J46:K46"/>
    <mergeCell ref="C238:E238"/>
    <mergeCell ref="F238:K238"/>
    <mergeCell ref="J54:K54"/>
    <mergeCell ref="J55:K55"/>
    <mergeCell ref="J48:K48"/>
    <mergeCell ref="J49:K49"/>
    <mergeCell ref="J50:K50"/>
    <mergeCell ref="J51:K51"/>
    <mergeCell ref="J52:K52"/>
    <mergeCell ref="J53:K53"/>
  </mergeCells>
  <hyperlinks>
    <hyperlink ref="K265" location="'3.12 Palmerston'!K1" display="Back to top"/>
    <hyperlink ref="J1:K1" location="'Index '!A1" display="Back to Index"/>
  </hyperlinks>
  <pageMargins left="0.7" right="0.7" top="0.75" bottom="0.75" header="0.3" footer="0.3"/>
  <pageSetup paperSize="9" orientation="portrait" r:id="rId1"/>
  <drawing r:id="rId2"/>
  <tableParts count="10">
    <tablePart r:id="rId3"/>
    <tablePart r:id="rId4"/>
    <tablePart r:id="rId5"/>
    <tablePart r:id="rId6"/>
    <tablePart r:id="rId7"/>
    <tablePart r:id="rId8"/>
    <tablePart r:id="rId9"/>
    <tablePart r:id="rId10"/>
    <tablePart r:id="rId11"/>
    <tablePart r:id="rId1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0"/>
  <sheetViews>
    <sheetView showGridLines="0" zoomScaleNormal="100" zoomScaleSheetLayoutView="120" zoomScalePageLayoutView="75" workbookViewId="0"/>
  </sheetViews>
  <sheetFormatPr defaultColWidth="15.625" defaultRowHeight="12.75"/>
  <cols>
    <col min="1" max="1" width="5.875" style="149" customWidth="1"/>
    <col min="2" max="2" width="41.875" style="149" customWidth="1"/>
    <col min="3" max="7" width="12" style="149" customWidth="1"/>
    <col min="8" max="11" width="12.375" style="149" customWidth="1"/>
    <col min="12" max="14" width="15.625" style="149" customWidth="1"/>
    <col min="15" max="18" width="15.625" style="149"/>
    <col min="19" max="28" width="15.625" style="149" customWidth="1"/>
    <col min="29" max="16384" width="15.625" style="149"/>
  </cols>
  <sheetData>
    <row r="1" spans="1:11" ht="15.75">
      <c r="B1" s="122"/>
      <c r="C1" s="122"/>
      <c r="D1" s="122"/>
      <c r="E1" s="122"/>
      <c r="J1" s="1229" t="s">
        <v>359</v>
      </c>
      <c r="K1" s="1229"/>
    </row>
    <row r="2" spans="1:11" ht="30">
      <c r="A2" s="123"/>
      <c r="B2" s="333" t="s">
        <v>912</v>
      </c>
      <c r="C2" s="120"/>
      <c r="D2" s="120"/>
      <c r="E2" s="120"/>
      <c r="F2" s="120"/>
      <c r="G2" s="650"/>
      <c r="H2" s="650"/>
      <c r="I2" s="650"/>
      <c r="J2" s="650"/>
      <c r="K2" s="650"/>
    </row>
    <row r="3" spans="1:11">
      <c r="B3" s="122"/>
      <c r="C3" s="122"/>
      <c r="D3" s="122"/>
      <c r="E3" s="122"/>
      <c r="F3" s="122"/>
    </row>
    <row r="4" spans="1:11">
      <c r="B4" s="122"/>
      <c r="C4" s="122"/>
      <c r="D4" s="122"/>
      <c r="E4" s="122"/>
      <c r="F4" s="122"/>
    </row>
    <row r="5" spans="1:11">
      <c r="B5" s="123"/>
      <c r="C5" s="123"/>
      <c r="D5" s="123"/>
      <c r="E5" s="122"/>
      <c r="F5" s="122"/>
    </row>
    <row r="6" spans="1:11" ht="15.75">
      <c r="B6" s="124" t="s">
        <v>0</v>
      </c>
      <c r="C6" s="53" t="s">
        <v>1</v>
      </c>
      <c r="D6" s="123"/>
      <c r="E6" s="122"/>
      <c r="F6" s="122"/>
    </row>
    <row r="7" spans="1:11" ht="15.75">
      <c r="B7" s="126" t="s">
        <v>2</v>
      </c>
      <c r="C7" s="53">
        <f>D16</f>
        <v>0.90590405904059046</v>
      </c>
      <c r="D7" s="123"/>
      <c r="E7" s="122"/>
      <c r="F7" s="122"/>
    </row>
    <row r="8" spans="1:11" ht="15.75">
      <c r="B8" s="126" t="s">
        <v>3</v>
      </c>
      <c r="C8" s="53">
        <f>D18</f>
        <v>6.2576875768757687E-2</v>
      </c>
      <c r="D8" s="123"/>
      <c r="E8" s="122"/>
      <c r="F8" s="122"/>
    </row>
    <row r="9" spans="1:11" ht="15.75">
      <c r="B9" s="126" t="s">
        <v>4</v>
      </c>
      <c r="C9" s="53">
        <f>D19</f>
        <v>1.3991389913899139E-2</v>
      </c>
      <c r="D9" s="123"/>
      <c r="E9" s="122"/>
      <c r="F9" s="122"/>
    </row>
    <row r="10" spans="1:11" ht="15.75">
      <c r="B10" s="126"/>
      <c r="C10" s="53"/>
      <c r="D10" s="123"/>
      <c r="E10" s="122"/>
      <c r="F10" s="122"/>
    </row>
    <row r="11" spans="1:11" ht="15.75">
      <c r="B11" s="126" t="s">
        <v>5</v>
      </c>
      <c r="C11" s="53">
        <f>D20</f>
        <v>1.7373923739237393E-2</v>
      </c>
      <c r="D11" s="123"/>
      <c r="E11" s="122"/>
      <c r="F11" s="122"/>
    </row>
    <row r="12" spans="1:11" ht="23.25">
      <c r="B12" s="127" t="s">
        <v>731</v>
      </c>
    </row>
    <row r="14" spans="1:11" s="128" customFormat="1" ht="25.5">
      <c r="B14" s="252" t="s">
        <v>0</v>
      </c>
      <c r="C14" s="233" t="s">
        <v>6</v>
      </c>
      <c r="D14" s="233" t="s">
        <v>1</v>
      </c>
      <c r="E14" s="233" t="s">
        <v>7</v>
      </c>
      <c r="F14" s="233" t="s">
        <v>65</v>
      </c>
      <c r="G14" s="233" t="s">
        <v>8</v>
      </c>
    </row>
    <row r="15" spans="1:11" s="329" customFormat="1">
      <c r="B15" s="262" t="s">
        <v>9</v>
      </c>
      <c r="C15" s="55">
        <v>6504</v>
      </c>
      <c r="D15" s="54">
        <f t="shared" ref="D15:D25" si="0">(C15/$C$15)</f>
        <v>1</v>
      </c>
      <c r="E15" s="55">
        <v>6121</v>
      </c>
      <c r="F15" s="55">
        <f>(Table4791113157212579399117123[[#This Row],[Persons]]-Table4791113157212579399117123[[#This Row],[2011 Census]])</f>
        <v>383</v>
      </c>
      <c r="G15" s="54">
        <f>(Table4791113157212579399117123[[#This Row],[Change 2011-2016]]/Table4791113157212579399117123[[#This Row],[2011 Census]])</f>
        <v>6.2571475249142292E-2</v>
      </c>
    </row>
    <row r="16" spans="1:11" s="329" customFormat="1">
      <c r="B16" s="262" t="s">
        <v>2</v>
      </c>
      <c r="C16" s="55">
        <v>5892</v>
      </c>
      <c r="D16" s="54">
        <f t="shared" si="0"/>
        <v>0.90590405904059046</v>
      </c>
      <c r="E16" s="55">
        <v>5861</v>
      </c>
      <c r="F16" s="55">
        <f>(Table4791113157212579399117123[[#This Row],[Persons]]-Table4791113157212579399117123[[#This Row],[2011 Census]])</f>
        <v>31</v>
      </c>
      <c r="G16" s="54">
        <f>(Table4791113157212579399117123[[#This Row],[Change 2011-2016]]/Table4791113157212579399117123[[#This Row],[2011 Census]])</f>
        <v>5.2891997952567819E-3</v>
      </c>
    </row>
    <row r="17" spans="2:8" s="329" customFormat="1">
      <c r="B17" s="262" t="s">
        <v>362</v>
      </c>
      <c r="C17" s="55">
        <v>205</v>
      </c>
      <c r="D17" s="54">
        <f t="shared" si="0"/>
        <v>3.151906519065191E-2</v>
      </c>
      <c r="E17" s="512">
        <v>115</v>
      </c>
      <c r="F17" s="55">
        <f>(Table4791113157212579399117123[[#This Row],[Persons]]-Table4791113157212579399117123[[#This Row],[2011 Census]])</f>
        <v>90</v>
      </c>
      <c r="G17" s="54">
        <f>(Table4791113157212579399117123[[#This Row],[Change 2011-2016]]/Table4791113157212579399117123[[#This Row],[2011 Census]])</f>
        <v>0.78260869565217395</v>
      </c>
    </row>
    <row r="18" spans="2:8" s="329" customFormat="1">
      <c r="B18" s="262" t="s">
        <v>3</v>
      </c>
      <c r="C18" s="55">
        <v>407</v>
      </c>
      <c r="D18" s="54">
        <f t="shared" si="0"/>
        <v>6.2576875768757687E-2</v>
      </c>
      <c r="E18" s="512">
        <v>143</v>
      </c>
      <c r="F18" s="55">
        <f>(Table4791113157212579399117123[[#This Row],[Persons]]-Table4791113157212579399117123[[#This Row],[2011 Census]])</f>
        <v>264</v>
      </c>
      <c r="G18" s="54">
        <f>(Table4791113157212579399117123[[#This Row],[Change 2011-2016]]/Table4791113157212579399117123[[#This Row],[2011 Census]])</f>
        <v>1.8461538461538463</v>
      </c>
    </row>
    <row r="19" spans="2:8" s="329" customFormat="1">
      <c r="B19" s="262" t="s">
        <v>4</v>
      </c>
      <c r="C19" s="55">
        <v>91</v>
      </c>
      <c r="D19" s="54">
        <f t="shared" si="0"/>
        <v>1.3991389913899139E-2</v>
      </c>
      <c r="E19" s="512">
        <v>79</v>
      </c>
      <c r="F19" s="55">
        <f>(Table4791113157212579399117123[[#This Row],[Persons]]-Table4791113157212579399117123[[#This Row],[2011 Census]])</f>
        <v>12</v>
      </c>
      <c r="G19" s="54">
        <f>(Table4791113157212579399117123[[#This Row],[Change 2011-2016]]/Table4791113157212579399117123[[#This Row],[2011 Census]])</f>
        <v>0.15189873417721519</v>
      </c>
    </row>
    <row r="20" spans="2:8" s="329" customFormat="1">
      <c r="B20" s="262" t="s">
        <v>5</v>
      </c>
      <c r="C20" s="55">
        <v>113</v>
      </c>
      <c r="D20" s="54">
        <f t="shared" si="0"/>
        <v>1.7373923739237393E-2</v>
      </c>
      <c r="E20" s="512">
        <v>36</v>
      </c>
      <c r="F20" s="55">
        <f>(Table4791113157212579399117123[[#This Row],[Persons]]-Table4791113157212579399117123[[#This Row],[2011 Census]])</f>
        <v>77</v>
      </c>
      <c r="G20" s="54">
        <f>(Table4791113157212579399117123[[#This Row],[Change 2011-2016]]/Table4791113157212579399117123[[#This Row],[2011 Census]])</f>
        <v>2.1388888888888888</v>
      </c>
    </row>
    <row r="21" spans="2:8" s="329" customFormat="1">
      <c r="B21" s="262" t="s">
        <v>11</v>
      </c>
      <c r="C21" s="55">
        <v>79</v>
      </c>
      <c r="D21" s="54">
        <f t="shared" si="0"/>
        <v>1.2146371463714637E-2</v>
      </c>
      <c r="E21" s="512">
        <v>49</v>
      </c>
      <c r="F21" s="55">
        <f>(Table4791113157212579399117123[[#This Row],[Persons]]-Table4791113157212579399117123[[#This Row],[2011 Census]])</f>
        <v>30</v>
      </c>
      <c r="G21" s="54">
        <f>(Table4791113157212579399117123[[#This Row],[Change 2011-2016]]/Table4791113157212579399117123[[#This Row],[2011 Census]])</f>
        <v>0.61224489795918369</v>
      </c>
    </row>
    <row r="22" spans="2:8" s="329" customFormat="1">
      <c r="B22" s="262" t="s">
        <v>12</v>
      </c>
      <c r="C22" s="55">
        <v>5185</v>
      </c>
      <c r="D22" s="54">
        <f t="shared" si="0"/>
        <v>0.79720172201722017</v>
      </c>
      <c r="E22" s="512">
        <v>5008</v>
      </c>
      <c r="F22" s="55">
        <f>(Table4791113157212579399117123[[#This Row],[Persons]]-Table4791113157212579399117123[[#This Row],[2011 Census]])</f>
        <v>177</v>
      </c>
      <c r="G22" s="54">
        <f>(Table4791113157212579399117123[[#This Row],[Change 2011-2016]]/Table4791113157212579399117123[[#This Row],[2011 Census]])</f>
        <v>3.5343450479233228E-2</v>
      </c>
    </row>
    <row r="23" spans="2:8" s="329" customFormat="1">
      <c r="B23" s="262" t="s">
        <v>13</v>
      </c>
      <c r="C23" s="55">
        <v>4124</v>
      </c>
      <c r="D23" s="54">
        <f t="shared" si="0"/>
        <v>0.63407134071340709</v>
      </c>
      <c r="E23" s="512">
        <v>3715</v>
      </c>
      <c r="F23" s="55">
        <f>(Table4791113157212579399117123[[#This Row],[Persons]]-Table4791113157212579399117123[[#This Row],[2011 Census]])</f>
        <v>409</v>
      </c>
      <c r="G23" s="54">
        <f>(Table4791113157212579399117123[[#This Row],[Change 2011-2016]]/Table4791113157212579399117123[[#This Row],[2011 Census]])</f>
        <v>0.11009421265141318</v>
      </c>
    </row>
    <row r="24" spans="2:8" s="329" customFormat="1">
      <c r="B24" s="262" t="s">
        <v>869</v>
      </c>
      <c r="C24" s="55">
        <v>69</v>
      </c>
      <c r="D24" s="54">
        <f t="shared" si="0"/>
        <v>1.0608856088560886E-2</v>
      </c>
      <c r="E24" s="512">
        <v>42</v>
      </c>
      <c r="F24" s="55">
        <f>(Table4791113157212579399117123[[#This Row],[Persons]]-Table4791113157212579399117123[[#This Row],[2011 Census]])</f>
        <v>27</v>
      </c>
      <c r="G24" s="54">
        <f>(Table4791113157212579399117123[[#This Row],[Change 2011-2016]]/Table4791113157212579399117123[[#This Row],[2011 Census]])</f>
        <v>0.6428571428571429</v>
      </c>
    </row>
    <row r="25" spans="2:8" s="329" customFormat="1" ht="15.95" customHeight="1">
      <c r="B25" s="262" t="s">
        <v>870</v>
      </c>
      <c r="C25" s="55">
        <v>39</v>
      </c>
      <c r="D25" s="54">
        <f t="shared" si="0"/>
        <v>5.9963099630996313E-3</v>
      </c>
      <c r="E25" s="512">
        <v>14</v>
      </c>
      <c r="F25" s="55">
        <f>(Table4791113157212579399117123[[#This Row],[Persons]]-Table4791113157212579399117123[[#This Row],[2011 Census]])</f>
        <v>25</v>
      </c>
      <c r="G25" s="54">
        <f>(Table4791113157212579399117123[[#This Row],[Change 2011-2016]]/Table4791113157212579399117123[[#This Row],[2011 Census]])</f>
        <v>1.7857142857142858</v>
      </c>
    </row>
    <row r="26" spans="2:8" s="329" customFormat="1">
      <c r="B26" s="349" t="s">
        <v>366</v>
      </c>
    </row>
    <row r="27" spans="2:8" s="329" customFormat="1">
      <c r="B27" s="349"/>
    </row>
    <row r="28" spans="2:8" s="329" customFormat="1" ht="23.25">
      <c r="B28" s="127" t="s">
        <v>732</v>
      </c>
      <c r="D28" s="513"/>
      <c r="E28" s="514"/>
      <c r="F28" s="514"/>
      <c r="G28" s="514"/>
    </row>
    <row r="29" spans="2:8" s="329" customFormat="1" ht="15.75">
      <c r="B29" s="133" t="s">
        <v>333</v>
      </c>
    </row>
    <row r="30" spans="2:8" s="128" customFormat="1" ht="25.5">
      <c r="B30" s="252" t="s">
        <v>14</v>
      </c>
      <c r="C30" s="252" t="s">
        <v>15</v>
      </c>
      <c r="D30" s="252" t="s">
        <v>16</v>
      </c>
      <c r="E30" s="252" t="s">
        <v>17</v>
      </c>
      <c r="F30" s="252" t="s">
        <v>18</v>
      </c>
      <c r="G30" s="252" t="s">
        <v>19</v>
      </c>
      <c r="H30" s="252" t="s">
        <v>20</v>
      </c>
    </row>
    <row r="31" spans="2:8" s="329" customFormat="1">
      <c r="B31" s="907" t="s">
        <v>73</v>
      </c>
      <c r="C31" s="287">
        <v>18</v>
      </c>
      <c r="D31" s="287">
        <v>21</v>
      </c>
      <c r="E31" s="287">
        <v>40</v>
      </c>
      <c r="F31" s="288">
        <f>SUM(Table55202469298116122[[#This Row],[Persons 2016]]/$C$17)</f>
        <v>0.1951219512195122</v>
      </c>
      <c r="G31" s="288" t="s">
        <v>94</v>
      </c>
      <c r="H31" s="288" t="str">
        <f>IFERROR(((Table55202469298116122[[#This Row],[Persons 2016]]-Table55202469298116122[[#This Row],[Persons 2011]])/Table55202469298116122[[#This Row],[Persons 2011]]),"..")</f>
        <v>..</v>
      </c>
    </row>
    <row r="32" spans="2:8" s="329" customFormat="1">
      <c r="B32" s="655" t="s">
        <v>92</v>
      </c>
      <c r="C32" s="287">
        <v>13</v>
      </c>
      <c r="D32" s="287">
        <v>15</v>
      </c>
      <c r="E32" s="287">
        <v>27</v>
      </c>
      <c r="F32" s="288">
        <f>SUM(Table55202469298116122[[#This Row],[Persons 2016]]/$C$17)</f>
        <v>0.13170731707317074</v>
      </c>
      <c r="G32" s="288" t="s">
        <v>94</v>
      </c>
      <c r="H32" s="288" t="str">
        <f>IFERROR(((Table55202469298116122[[#This Row],[Persons 2016]]-Table55202469298116122[[#This Row],[Persons 2011]])/Table55202469298116122[[#This Row],[Persons 2011]]),"..")</f>
        <v>..</v>
      </c>
    </row>
    <row r="33" spans="2:10" s="329" customFormat="1">
      <c r="B33" s="655" t="s">
        <v>81</v>
      </c>
      <c r="C33" s="287">
        <v>8</v>
      </c>
      <c r="D33" s="287">
        <v>5</v>
      </c>
      <c r="E33" s="287">
        <v>15</v>
      </c>
      <c r="F33" s="288">
        <f>SUM(Table55202469298116122[[#This Row],[Persons 2016]]/$C$17)</f>
        <v>7.3170731707317069E-2</v>
      </c>
      <c r="G33" s="288" t="s">
        <v>94</v>
      </c>
      <c r="H33" s="288" t="str">
        <f>IFERROR(((Table55202469298116122[[#This Row],[Persons 2016]]-Table55202469298116122[[#This Row],[Persons 2011]])/Table55202469298116122[[#This Row],[Persons 2011]]),"..")</f>
        <v>..</v>
      </c>
    </row>
    <row r="34" spans="2:10" s="329" customFormat="1">
      <c r="B34" s="907" t="s">
        <v>75</v>
      </c>
      <c r="C34" s="287">
        <v>4</v>
      </c>
      <c r="D34" s="287">
        <v>4</v>
      </c>
      <c r="E34" s="287">
        <v>15</v>
      </c>
      <c r="F34" s="288">
        <f>SUM(Table55202469298116122[[#This Row],[Persons 2016]]/$C$17)</f>
        <v>7.3170731707317069E-2</v>
      </c>
      <c r="G34" s="288" t="s">
        <v>94</v>
      </c>
      <c r="H34" s="288" t="str">
        <f>IFERROR(((Table55202469298116122[[#This Row],[Persons 2016]]-Table55202469298116122[[#This Row],[Persons 2011]])/Table55202469298116122[[#This Row],[Persons 2011]]),"..")</f>
        <v>..</v>
      </c>
    </row>
    <row r="35" spans="2:10" s="329" customFormat="1">
      <c r="B35" s="907" t="s">
        <v>129</v>
      </c>
      <c r="C35" s="287">
        <v>4</v>
      </c>
      <c r="D35" s="287">
        <v>6</v>
      </c>
      <c r="E35" s="287">
        <v>11</v>
      </c>
      <c r="F35" s="288">
        <f>SUM(Table55202469298116122[[#This Row],[Persons 2016]]/$C$17)</f>
        <v>5.3658536585365853E-2</v>
      </c>
      <c r="G35" s="288" t="s">
        <v>94</v>
      </c>
      <c r="H35" s="288" t="str">
        <f>IFERROR(((Table55202469298116122[[#This Row],[Persons 2016]]-Table55202469298116122[[#This Row],[Persons 2011]])/Table55202469298116122[[#This Row],[Persons 2011]]),"..")</f>
        <v>..</v>
      </c>
    </row>
    <row r="36" spans="2:10" s="329" customFormat="1">
      <c r="B36" s="655" t="s">
        <v>83</v>
      </c>
      <c r="C36" s="287">
        <v>3</v>
      </c>
      <c r="D36" s="287">
        <v>5</v>
      </c>
      <c r="E36" s="287">
        <v>10</v>
      </c>
      <c r="F36" s="288">
        <f>SUM(Table55202469298116122[[#This Row],[Persons 2016]]/$C$17)</f>
        <v>4.878048780487805E-2</v>
      </c>
      <c r="G36" s="288" t="s">
        <v>94</v>
      </c>
      <c r="H36" s="288" t="str">
        <f>IFERROR(((Table55202469298116122[[#This Row],[Persons 2016]]-Table55202469298116122[[#This Row],[Persons 2011]])/Table55202469298116122[[#This Row],[Persons 2011]]),"..")</f>
        <v>..</v>
      </c>
    </row>
    <row r="37" spans="2:10" s="329" customFormat="1">
      <c r="B37" s="907" t="s">
        <v>79</v>
      </c>
      <c r="C37" s="287">
        <v>3</v>
      </c>
      <c r="D37" s="287">
        <v>4</v>
      </c>
      <c r="E37" s="287">
        <v>8</v>
      </c>
      <c r="F37" s="288">
        <f>SUM(Table55202469298116122[[#This Row],[Persons 2016]]/$C$17)</f>
        <v>3.9024390243902439E-2</v>
      </c>
      <c r="G37" s="288" t="s">
        <v>94</v>
      </c>
      <c r="H37" s="288" t="str">
        <f>IFERROR(((Table55202469298116122[[#This Row],[Persons 2016]]-Table55202469298116122[[#This Row],[Persons 2011]])/Table55202469298116122[[#This Row],[Persons 2011]]),"..")</f>
        <v>..</v>
      </c>
    </row>
    <row r="38" spans="2:10" s="329" customFormat="1">
      <c r="B38" s="655" t="s">
        <v>85</v>
      </c>
      <c r="C38" s="287">
        <v>6</v>
      </c>
      <c r="D38" s="287">
        <v>0</v>
      </c>
      <c r="E38" s="287">
        <v>7</v>
      </c>
      <c r="F38" s="288">
        <f>SUM(Table55202469298116122[[#This Row],[Persons 2016]]/$C$17)</f>
        <v>3.4146341463414637E-2</v>
      </c>
      <c r="G38" s="288" t="s">
        <v>94</v>
      </c>
      <c r="H38" s="288" t="str">
        <f>IFERROR(((Table55202469298116122[[#This Row],[Persons 2016]]-Table55202469298116122[[#This Row],[Persons 2011]])/Table55202469298116122[[#This Row],[Persons 2011]]),"..")</f>
        <v>..</v>
      </c>
    </row>
    <row r="39" spans="2:10">
      <c r="B39" s="907" t="s">
        <v>93</v>
      </c>
      <c r="C39" s="287">
        <v>0</v>
      </c>
      <c r="D39" s="287">
        <v>4</v>
      </c>
      <c r="E39" s="287">
        <v>6</v>
      </c>
      <c r="F39" s="288">
        <f>SUM(Table55202469298116122[[#This Row],[Persons 2016]]/$C$17)</f>
        <v>2.9268292682926831E-2</v>
      </c>
      <c r="G39" s="288" t="s">
        <v>94</v>
      </c>
      <c r="H39" s="288" t="str">
        <f>IFERROR(((Table55202469298116122[[#This Row],[Persons 2016]]-Table55202469298116122[[#This Row],[Persons 2011]])/Table55202469298116122[[#This Row],[Persons 2011]]),"..")</f>
        <v>..</v>
      </c>
      <c r="I39" s="555"/>
      <c r="J39" s="555"/>
    </row>
    <row r="40" spans="2:10">
      <c r="B40" s="907" t="s">
        <v>74</v>
      </c>
      <c r="C40" s="287">
        <v>0</v>
      </c>
      <c r="D40" s="287">
        <v>6</v>
      </c>
      <c r="E40" s="287">
        <v>6</v>
      </c>
      <c r="F40" s="288">
        <f>SUM(Table55202469298116122[[#This Row],[Persons 2016]]/$C$17)</f>
        <v>2.9268292682926831E-2</v>
      </c>
      <c r="G40" s="288" t="s">
        <v>94</v>
      </c>
      <c r="H40" s="288" t="str">
        <f>IFERROR(((Table55202469298116122[[#This Row],[Persons 2016]]-Table55202469298116122[[#This Row],[Persons 2011]])/Table55202469298116122[[#This Row],[Persons 2011]]),"..")</f>
        <v>..</v>
      </c>
      <c r="I40" s="555"/>
      <c r="J40" s="555"/>
    </row>
    <row r="41" spans="2:10">
      <c r="B41" s="655" t="s">
        <v>369</v>
      </c>
      <c r="C41" s="287">
        <f>C42-SUM(C31:C40)</f>
        <v>49</v>
      </c>
      <c r="D41" s="287">
        <f t="shared" ref="D41:E41" si="1">D42-SUM(D31:D40)</f>
        <v>31</v>
      </c>
      <c r="E41" s="287">
        <f t="shared" si="1"/>
        <v>60</v>
      </c>
      <c r="F41" s="656">
        <f>SUM(Table55202469298116122[[#This Row],[Persons 2016]]/$C$17)</f>
        <v>0.29268292682926828</v>
      </c>
      <c r="G41" s="288" t="s">
        <v>94</v>
      </c>
      <c r="H41" s="656" t="str">
        <f>IFERROR(((Table55202469298116122[[#This Row],[Persons 2016]]-Table55202469298116122[[#This Row],[Persons 2011]])/Table55202469298116122[[#This Row],[Persons 2011]]),"..")</f>
        <v>..</v>
      </c>
      <c r="I41" s="555"/>
      <c r="J41" s="555"/>
    </row>
    <row r="42" spans="2:10">
      <c r="B42" s="522" t="s">
        <v>21</v>
      </c>
      <c r="C42" s="1113">
        <v>108</v>
      </c>
      <c r="D42" s="1113">
        <v>101</v>
      </c>
      <c r="E42" s="1114">
        <v>205</v>
      </c>
      <c r="F42" s="1115" t="s">
        <v>22</v>
      </c>
      <c r="G42" s="1116">
        <f>E17</f>
        <v>115</v>
      </c>
      <c r="H42" s="1117">
        <f>IFERROR(((Table55202469298116122[[#This Row],[Persons 2016]]-Table55202469298116122[[#This Row],[Persons 2011]])/Table55202469298116122[[#This Row],[Persons 2011]]),"..")</f>
        <v>0.78260869565217395</v>
      </c>
      <c r="I42" s="1118"/>
      <c r="J42" s="1118"/>
    </row>
    <row r="43" spans="2:10" s="329" customFormat="1">
      <c r="B43" s="349" t="s">
        <v>366</v>
      </c>
    </row>
    <row r="45" spans="2:10" ht="23.25">
      <c r="B45" s="127" t="s">
        <v>733</v>
      </c>
    </row>
    <row r="46" spans="2:10" ht="15.75">
      <c r="B46" s="138" t="s">
        <v>832</v>
      </c>
    </row>
    <row r="47" spans="2:10">
      <c r="B47" s="149" t="s">
        <v>871</v>
      </c>
    </row>
    <row r="48" spans="2:10">
      <c r="B48" s="266" t="s">
        <v>14</v>
      </c>
      <c r="C48" s="144" t="s">
        <v>23</v>
      </c>
      <c r="D48" s="144" t="s">
        <v>24</v>
      </c>
      <c r="E48" s="144" t="s">
        <v>25</v>
      </c>
      <c r="F48" s="144" t="s">
        <v>26</v>
      </c>
      <c r="G48" s="144" t="s">
        <v>27</v>
      </c>
      <c r="H48" s="421" t="s">
        <v>28</v>
      </c>
    </row>
    <row r="49" spans="2:8">
      <c r="B49" s="292" t="s">
        <v>73</v>
      </c>
      <c r="C49" s="155">
        <v>0</v>
      </c>
      <c r="D49" s="155">
        <v>3</v>
      </c>
      <c r="E49" s="155">
        <v>12</v>
      </c>
      <c r="F49" s="668">
        <v>16</v>
      </c>
      <c r="G49" s="155">
        <v>10</v>
      </c>
      <c r="H49" s="911">
        <v>40</v>
      </c>
    </row>
    <row r="50" spans="2:8">
      <c r="B50" s="912" t="s">
        <v>92</v>
      </c>
      <c r="C50" s="158">
        <v>0</v>
      </c>
      <c r="D50" s="158">
        <v>7</v>
      </c>
      <c r="E50" s="158">
        <v>4</v>
      </c>
      <c r="F50" s="671">
        <v>12</v>
      </c>
      <c r="G50" s="158">
        <v>6</v>
      </c>
      <c r="H50" s="913">
        <v>27</v>
      </c>
    </row>
    <row r="51" spans="2:8">
      <c r="B51" s="914" t="s">
        <v>81</v>
      </c>
      <c r="C51" s="155">
        <v>4</v>
      </c>
      <c r="D51" s="155">
        <v>0</v>
      </c>
      <c r="E51" s="155">
        <v>6</v>
      </c>
      <c r="F51" s="668">
        <v>3</v>
      </c>
      <c r="G51" s="155">
        <v>3</v>
      </c>
      <c r="H51" s="915">
        <v>15</v>
      </c>
    </row>
    <row r="52" spans="2:8">
      <c r="B52" s="294" t="s">
        <v>75</v>
      </c>
      <c r="C52" s="158">
        <v>4</v>
      </c>
      <c r="D52" s="158">
        <v>0</v>
      </c>
      <c r="E52" s="158">
        <v>10</v>
      </c>
      <c r="F52" s="671">
        <v>0</v>
      </c>
      <c r="G52" s="158">
        <v>0</v>
      </c>
      <c r="H52" s="913">
        <v>15</v>
      </c>
    </row>
    <row r="53" spans="2:8">
      <c r="B53" s="292" t="s">
        <v>129</v>
      </c>
      <c r="C53" s="155">
        <v>0</v>
      </c>
      <c r="D53" s="155">
        <v>4</v>
      </c>
      <c r="E53" s="155">
        <v>9</v>
      </c>
      <c r="F53" s="668">
        <v>0</v>
      </c>
      <c r="G53" s="155">
        <v>0</v>
      </c>
      <c r="H53" s="915">
        <v>11</v>
      </c>
    </row>
    <row r="54" spans="2:8">
      <c r="B54" s="912" t="s">
        <v>83</v>
      </c>
      <c r="C54" s="158">
        <v>0</v>
      </c>
      <c r="D54" s="158">
        <v>5</v>
      </c>
      <c r="E54" s="158">
        <v>5</v>
      </c>
      <c r="F54" s="671">
        <v>0</v>
      </c>
      <c r="G54" s="158">
        <v>0</v>
      </c>
      <c r="H54" s="913">
        <v>10</v>
      </c>
    </row>
    <row r="55" spans="2:8">
      <c r="B55" s="292" t="s">
        <v>79</v>
      </c>
      <c r="C55" s="155">
        <v>0</v>
      </c>
      <c r="D55" s="155">
        <v>0</v>
      </c>
      <c r="E55" s="155">
        <v>3</v>
      </c>
      <c r="F55" s="668">
        <v>0</v>
      </c>
      <c r="G55" s="155">
        <v>0</v>
      </c>
      <c r="H55" s="915">
        <v>8</v>
      </c>
    </row>
    <row r="56" spans="2:8">
      <c r="B56" s="912" t="s">
        <v>85</v>
      </c>
      <c r="C56" s="158">
        <v>0</v>
      </c>
      <c r="D56" s="158">
        <v>0</v>
      </c>
      <c r="E56" s="158">
        <v>4</v>
      </c>
      <c r="F56" s="671">
        <v>0</v>
      </c>
      <c r="G56" s="158">
        <v>0</v>
      </c>
      <c r="H56" s="913">
        <v>7</v>
      </c>
    </row>
    <row r="57" spans="2:8">
      <c r="B57" s="292" t="s">
        <v>93</v>
      </c>
      <c r="C57" s="155">
        <v>0</v>
      </c>
      <c r="D57" s="155">
        <v>0</v>
      </c>
      <c r="E57" s="155">
        <v>5</v>
      </c>
      <c r="F57" s="668">
        <v>0</v>
      </c>
      <c r="G57" s="155">
        <v>0</v>
      </c>
      <c r="H57" s="915">
        <v>6</v>
      </c>
    </row>
    <row r="58" spans="2:8">
      <c r="B58" s="294" t="s">
        <v>74</v>
      </c>
      <c r="C58" s="158">
        <v>0</v>
      </c>
      <c r="D58" s="158">
        <v>0</v>
      </c>
      <c r="E58" s="158">
        <v>0</v>
      </c>
      <c r="F58" s="671">
        <v>3</v>
      </c>
      <c r="G58" s="158">
        <v>0</v>
      </c>
      <c r="H58" s="913">
        <v>6</v>
      </c>
    </row>
    <row r="59" spans="2:8">
      <c r="B59" s="297" t="s">
        <v>29</v>
      </c>
      <c r="C59" s="141">
        <v>1812</v>
      </c>
      <c r="D59" s="141">
        <v>1069</v>
      </c>
      <c r="E59" s="141">
        <v>1719</v>
      </c>
      <c r="F59" s="141">
        <v>1053</v>
      </c>
      <c r="G59" s="141">
        <v>239</v>
      </c>
      <c r="H59" s="278">
        <v>5892</v>
      </c>
    </row>
    <row r="60" spans="2:8">
      <c r="B60" s="298" t="s">
        <v>30</v>
      </c>
      <c r="C60" s="142">
        <v>0</v>
      </c>
      <c r="D60" s="142">
        <v>12</v>
      </c>
      <c r="E60" s="142">
        <v>19</v>
      </c>
      <c r="F60" s="142">
        <v>37</v>
      </c>
      <c r="G60" s="679">
        <v>17</v>
      </c>
      <c r="H60" s="280">
        <v>91</v>
      </c>
    </row>
    <row r="61" spans="2:8">
      <c r="B61" s="299" t="s">
        <v>31</v>
      </c>
      <c r="C61" s="282">
        <v>12</v>
      </c>
      <c r="D61" s="282">
        <v>6</v>
      </c>
      <c r="E61" s="282">
        <v>50</v>
      </c>
      <c r="F61" s="282">
        <v>32</v>
      </c>
      <c r="G61" s="282">
        <v>16</v>
      </c>
      <c r="H61" s="283">
        <v>113</v>
      </c>
    </row>
    <row r="63" spans="2:8" ht="23.25">
      <c r="B63" s="127" t="s">
        <v>734</v>
      </c>
    </row>
    <row r="64" spans="2:8" ht="15.75">
      <c r="B64" s="138" t="s">
        <v>833</v>
      </c>
    </row>
    <row r="65" spans="2:8">
      <c r="B65" s="149" t="s">
        <v>843</v>
      </c>
    </row>
    <row r="66" spans="2:8">
      <c r="B66" s="266" t="s">
        <v>14</v>
      </c>
      <c r="C66" s="144" t="s">
        <v>23</v>
      </c>
      <c r="D66" s="144" t="s">
        <v>24</v>
      </c>
      <c r="E66" s="144" t="s">
        <v>25</v>
      </c>
      <c r="F66" s="144" t="s">
        <v>26</v>
      </c>
      <c r="G66" s="144" t="s">
        <v>27</v>
      </c>
      <c r="H66" s="421" t="s">
        <v>28</v>
      </c>
    </row>
    <row r="67" spans="2:8">
      <c r="B67" s="292" t="str">
        <f t="shared" ref="B67:B76" si="2">B49</f>
        <v>New Zealand</v>
      </c>
      <c r="C67" s="64">
        <f t="shared" ref="C67:C79" si="3">SUM(C49/H49)</f>
        <v>0</v>
      </c>
      <c r="D67" s="64">
        <f t="shared" ref="D67:D79" si="4">SUM(D49/H49)</f>
        <v>7.4999999999999997E-2</v>
      </c>
      <c r="E67" s="64">
        <f t="shared" ref="E67:E79" si="5">SUM(E49/H49)</f>
        <v>0.3</v>
      </c>
      <c r="F67" s="64">
        <f t="shared" ref="F67:F79" si="6">SUM(F49/H49)</f>
        <v>0.4</v>
      </c>
      <c r="G67" s="64">
        <f t="shared" ref="G67:G79" si="7">SUM(G49/H49)</f>
        <v>0.25</v>
      </c>
      <c r="H67" s="293">
        <f t="shared" ref="H67:H79" si="8">H49</f>
        <v>40</v>
      </c>
    </row>
    <row r="68" spans="2:8">
      <c r="B68" s="294" t="str">
        <f t="shared" si="2"/>
        <v>England</v>
      </c>
      <c r="C68" s="54">
        <f t="shared" si="3"/>
        <v>0</v>
      </c>
      <c r="D68" s="54">
        <f t="shared" si="4"/>
        <v>0.25925925925925924</v>
      </c>
      <c r="E68" s="54">
        <f t="shared" si="5"/>
        <v>0.14814814814814814</v>
      </c>
      <c r="F68" s="54">
        <f t="shared" si="6"/>
        <v>0.44444444444444442</v>
      </c>
      <c r="G68" s="54">
        <f t="shared" si="7"/>
        <v>0.22222222222222221</v>
      </c>
      <c r="H68" s="295">
        <f t="shared" si="8"/>
        <v>27</v>
      </c>
    </row>
    <row r="69" spans="2:8">
      <c r="B69" s="292" t="str">
        <f t="shared" si="2"/>
        <v>Fiji</v>
      </c>
      <c r="C69" s="64">
        <f t="shared" si="3"/>
        <v>0.26666666666666666</v>
      </c>
      <c r="D69" s="64">
        <f t="shared" si="4"/>
        <v>0</v>
      </c>
      <c r="E69" s="64">
        <f t="shared" si="5"/>
        <v>0.4</v>
      </c>
      <c r="F69" s="64">
        <f t="shared" si="6"/>
        <v>0.2</v>
      </c>
      <c r="G69" s="64">
        <f t="shared" si="7"/>
        <v>0.2</v>
      </c>
      <c r="H69" s="296">
        <f t="shared" si="8"/>
        <v>15</v>
      </c>
    </row>
    <row r="70" spans="2:8">
      <c r="B70" s="294" t="str">
        <f t="shared" si="2"/>
        <v>India</v>
      </c>
      <c r="C70" s="54">
        <f t="shared" si="3"/>
        <v>0.26666666666666666</v>
      </c>
      <c r="D70" s="54">
        <f t="shared" si="4"/>
        <v>0</v>
      </c>
      <c r="E70" s="54">
        <f t="shared" si="5"/>
        <v>0.66666666666666663</v>
      </c>
      <c r="F70" s="54">
        <f t="shared" si="6"/>
        <v>0</v>
      </c>
      <c r="G70" s="54">
        <f t="shared" si="7"/>
        <v>0</v>
      </c>
      <c r="H70" s="295">
        <f t="shared" si="8"/>
        <v>15</v>
      </c>
    </row>
    <row r="71" spans="2:8">
      <c r="B71" s="292" t="str">
        <f t="shared" si="2"/>
        <v>France</v>
      </c>
      <c r="C71" s="64">
        <f t="shared" si="3"/>
        <v>0</v>
      </c>
      <c r="D71" s="64">
        <f t="shared" si="4"/>
        <v>0.36363636363636365</v>
      </c>
      <c r="E71" s="64">
        <f t="shared" si="5"/>
        <v>0.81818181818181823</v>
      </c>
      <c r="F71" s="64">
        <f t="shared" si="6"/>
        <v>0</v>
      </c>
      <c r="G71" s="64">
        <f t="shared" si="7"/>
        <v>0</v>
      </c>
      <c r="H71" s="296">
        <f t="shared" si="8"/>
        <v>11</v>
      </c>
    </row>
    <row r="72" spans="2:8">
      <c r="B72" s="294" t="str">
        <f t="shared" si="2"/>
        <v>Ireland</v>
      </c>
      <c r="C72" s="54">
        <f t="shared" si="3"/>
        <v>0</v>
      </c>
      <c r="D72" s="54">
        <f t="shared" si="4"/>
        <v>0.5</v>
      </c>
      <c r="E72" s="54">
        <f t="shared" si="5"/>
        <v>0.5</v>
      </c>
      <c r="F72" s="54">
        <f t="shared" si="6"/>
        <v>0</v>
      </c>
      <c r="G72" s="54">
        <f t="shared" si="7"/>
        <v>0</v>
      </c>
      <c r="H72" s="295">
        <f t="shared" si="8"/>
        <v>10</v>
      </c>
    </row>
    <row r="73" spans="2:8">
      <c r="B73" s="292" t="str">
        <f t="shared" si="2"/>
        <v>Germany</v>
      </c>
      <c r="C73" s="64">
        <f t="shared" si="3"/>
        <v>0</v>
      </c>
      <c r="D73" s="64">
        <f t="shared" si="4"/>
        <v>0</v>
      </c>
      <c r="E73" s="64">
        <f t="shared" si="5"/>
        <v>0.375</v>
      </c>
      <c r="F73" s="64">
        <f t="shared" si="6"/>
        <v>0</v>
      </c>
      <c r="G73" s="64">
        <f t="shared" si="7"/>
        <v>0</v>
      </c>
      <c r="H73" s="296">
        <f t="shared" si="8"/>
        <v>8</v>
      </c>
    </row>
    <row r="74" spans="2:8">
      <c r="B74" s="294" t="str">
        <f t="shared" si="2"/>
        <v>Italy</v>
      </c>
      <c r="C74" s="54">
        <f t="shared" si="3"/>
        <v>0</v>
      </c>
      <c r="D74" s="54">
        <f t="shared" si="4"/>
        <v>0</v>
      </c>
      <c r="E74" s="54">
        <f t="shared" si="5"/>
        <v>0.5714285714285714</v>
      </c>
      <c r="F74" s="54">
        <f t="shared" si="6"/>
        <v>0</v>
      </c>
      <c r="G74" s="54">
        <f t="shared" si="7"/>
        <v>0</v>
      </c>
      <c r="H74" s="295">
        <f t="shared" si="8"/>
        <v>7</v>
      </c>
    </row>
    <row r="75" spans="2:8">
      <c r="B75" s="292" t="str">
        <f t="shared" si="2"/>
        <v>Taiwan</v>
      </c>
      <c r="C75" s="64">
        <f t="shared" si="3"/>
        <v>0</v>
      </c>
      <c r="D75" s="64">
        <f t="shared" si="4"/>
        <v>0</v>
      </c>
      <c r="E75" s="64">
        <f t="shared" si="5"/>
        <v>0.83333333333333337</v>
      </c>
      <c r="F75" s="64">
        <f t="shared" si="6"/>
        <v>0</v>
      </c>
      <c r="G75" s="64">
        <f t="shared" si="7"/>
        <v>0</v>
      </c>
      <c r="H75" s="296">
        <f t="shared" si="8"/>
        <v>6</v>
      </c>
    </row>
    <row r="76" spans="2:8">
      <c r="B76" s="294" t="str">
        <f t="shared" si="2"/>
        <v>United States of America</v>
      </c>
      <c r="C76" s="54">
        <f t="shared" si="3"/>
        <v>0</v>
      </c>
      <c r="D76" s="54">
        <f t="shared" si="4"/>
        <v>0</v>
      </c>
      <c r="E76" s="54">
        <f t="shared" si="5"/>
        <v>0</v>
      </c>
      <c r="F76" s="54">
        <f t="shared" si="6"/>
        <v>0.5</v>
      </c>
      <c r="G76" s="54">
        <f t="shared" si="7"/>
        <v>0</v>
      </c>
      <c r="H76" s="295">
        <f t="shared" si="8"/>
        <v>6</v>
      </c>
    </row>
    <row r="77" spans="2:8">
      <c r="B77" s="297" t="s">
        <v>29</v>
      </c>
      <c r="C77" s="70">
        <f t="shared" si="3"/>
        <v>0.3075356415478615</v>
      </c>
      <c r="D77" s="70">
        <f t="shared" si="4"/>
        <v>0.18143245078071962</v>
      </c>
      <c r="E77" s="70">
        <f t="shared" si="5"/>
        <v>0.29175152749490835</v>
      </c>
      <c r="F77" s="70">
        <f t="shared" si="6"/>
        <v>0.17871690427698575</v>
      </c>
      <c r="G77" s="70">
        <f t="shared" si="7"/>
        <v>4.0563475899524783E-2</v>
      </c>
      <c r="H77" s="278">
        <f t="shared" si="8"/>
        <v>5892</v>
      </c>
    </row>
    <row r="78" spans="2:8">
      <c r="B78" s="298" t="s">
        <v>30</v>
      </c>
      <c r="C78" s="73">
        <f t="shared" si="3"/>
        <v>0</v>
      </c>
      <c r="D78" s="73">
        <f t="shared" si="4"/>
        <v>0.13186813186813187</v>
      </c>
      <c r="E78" s="73">
        <f t="shared" si="5"/>
        <v>0.2087912087912088</v>
      </c>
      <c r="F78" s="73">
        <f t="shared" si="6"/>
        <v>0.40659340659340659</v>
      </c>
      <c r="G78" s="73">
        <f t="shared" si="7"/>
        <v>0.18681318681318682</v>
      </c>
      <c r="H78" s="280">
        <f t="shared" si="8"/>
        <v>91</v>
      </c>
    </row>
    <row r="79" spans="2:8">
      <c r="B79" s="299" t="s">
        <v>31</v>
      </c>
      <c r="C79" s="300">
        <f t="shared" si="3"/>
        <v>0.10619469026548672</v>
      </c>
      <c r="D79" s="300">
        <f t="shared" si="4"/>
        <v>5.3097345132743362E-2</v>
      </c>
      <c r="E79" s="300">
        <f t="shared" si="5"/>
        <v>0.44247787610619471</v>
      </c>
      <c r="F79" s="300">
        <f t="shared" si="6"/>
        <v>0.2831858407079646</v>
      </c>
      <c r="G79" s="300">
        <f t="shared" si="7"/>
        <v>0.1415929203539823</v>
      </c>
      <c r="H79" s="283">
        <f t="shared" si="8"/>
        <v>113</v>
      </c>
    </row>
    <row r="81" spans="2:8" ht="23.25">
      <c r="B81" s="127" t="s">
        <v>735</v>
      </c>
    </row>
    <row r="82" spans="2:8" ht="15.75">
      <c r="B82" s="150" t="s">
        <v>844</v>
      </c>
    </row>
    <row r="83" spans="2:8">
      <c r="B83" s="149" t="s">
        <v>887</v>
      </c>
    </row>
    <row r="84" spans="2:8">
      <c r="B84" s="151" t="s">
        <v>14</v>
      </c>
      <c r="C84" s="152" t="s">
        <v>32</v>
      </c>
      <c r="D84" s="152" t="s">
        <v>33</v>
      </c>
      <c r="E84" s="152" t="s">
        <v>34</v>
      </c>
      <c r="F84" s="152" t="s">
        <v>35</v>
      </c>
      <c r="G84" s="152">
        <v>2016</v>
      </c>
      <c r="H84" s="153" t="s">
        <v>28</v>
      </c>
    </row>
    <row r="85" spans="2:8">
      <c r="B85" s="154" t="s">
        <v>73</v>
      </c>
      <c r="C85" s="155">
        <v>12</v>
      </c>
      <c r="D85" s="155">
        <v>4</v>
      </c>
      <c r="E85" s="155">
        <v>7</v>
      </c>
      <c r="F85" s="156">
        <v>14</v>
      </c>
      <c r="G85" s="155">
        <v>0</v>
      </c>
      <c r="H85" s="157">
        <v>40</v>
      </c>
    </row>
    <row r="86" spans="2:8">
      <c r="B86" s="66" t="s">
        <v>92</v>
      </c>
      <c r="C86" s="158">
        <v>10</v>
      </c>
      <c r="D86" s="158">
        <v>3</v>
      </c>
      <c r="E86" s="158">
        <v>3</v>
      </c>
      <c r="F86" s="159">
        <v>6</v>
      </c>
      <c r="G86" s="158">
        <v>0</v>
      </c>
      <c r="H86" s="160">
        <v>27</v>
      </c>
    </row>
    <row r="87" spans="2:8">
      <c r="B87" s="63" t="s">
        <v>81</v>
      </c>
      <c r="C87" s="155">
        <v>0</v>
      </c>
      <c r="D87" s="155">
        <v>0</v>
      </c>
      <c r="E87" s="155">
        <v>3</v>
      </c>
      <c r="F87" s="156">
        <v>10</v>
      </c>
      <c r="G87" s="155">
        <v>0</v>
      </c>
      <c r="H87" s="161">
        <v>15</v>
      </c>
    </row>
    <row r="88" spans="2:8">
      <c r="B88" s="162" t="s">
        <v>75</v>
      </c>
      <c r="C88" s="158">
        <v>0</v>
      </c>
      <c r="D88" s="158">
        <v>0</v>
      </c>
      <c r="E88" s="158">
        <v>0</v>
      </c>
      <c r="F88" s="159">
        <v>10</v>
      </c>
      <c r="G88" s="158">
        <v>0</v>
      </c>
      <c r="H88" s="160">
        <v>15</v>
      </c>
    </row>
    <row r="89" spans="2:8">
      <c r="B89" s="154" t="s">
        <v>129</v>
      </c>
      <c r="C89" s="155">
        <v>0</v>
      </c>
      <c r="D89" s="155">
        <v>0</v>
      </c>
      <c r="E89" s="155">
        <v>0</v>
      </c>
      <c r="F89" s="156">
        <v>0</v>
      </c>
      <c r="G89" s="155">
        <v>0</v>
      </c>
      <c r="H89" s="161">
        <v>11</v>
      </c>
    </row>
    <row r="90" spans="2:8">
      <c r="B90" s="66" t="s">
        <v>83</v>
      </c>
      <c r="C90" s="158">
        <v>0</v>
      </c>
      <c r="D90" s="158">
        <v>0</v>
      </c>
      <c r="E90" s="158">
        <v>0</v>
      </c>
      <c r="F90" s="159">
        <v>7</v>
      </c>
      <c r="G90" s="158">
        <v>0</v>
      </c>
      <c r="H90" s="160">
        <v>10</v>
      </c>
    </row>
    <row r="91" spans="2:8">
      <c r="B91" s="63" t="s">
        <v>79</v>
      </c>
      <c r="C91" s="155">
        <v>3</v>
      </c>
      <c r="D91" s="155">
        <v>0</v>
      </c>
      <c r="E91" s="155">
        <v>0</v>
      </c>
      <c r="F91" s="156">
        <v>7</v>
      </c>
      <c r="G91" s="155">
        <v>0</v>
      </c>
      <c r="H91" s="161">
        <v>8</v>
      </c>
    </row>
    <row r="92" spans="2:8">
      <c r="B92" s="162" t="s">
        <v>85</v>
      </c>
      <c r="C92" s="158">
        <v>0</v>
      </c>
      <c r="D92" s="158">
        <v>0</v>
      </c>
      <c r="E92" s="158">
        <v>0</v>
      </c>
      <c r="F92" s="159">
        <v>4</v>
      </c>
      <c r="G92" s="158">
        <v>0</v>
      </c>
      <c r="H92" s="160">
        <v>7</v>
      </c>
    </row>
    <row r="93" spans="2:8">
      <c r="B93" s="63" t="s">
        <v>93</v>
      </c>
      <c r="C93" s="155">
        <v>0</v>
      </c>
      <c r="D93" s="155">
        <v>0</v>
      </c>
      <c r="E93" s="155">
        <v>0</v>
      </c>
      <c r="F93" s="156">
        <v>5</v>
      </c>
      <c r="G93" s="155">
        <v>0</v>
      </c>
      <c r="H93" s="161">
        <v>6</v>
      </c>
    </row>
    <row r="94" spans="2:8">
      <c r="B94" s="162" t="s">
        <v>74</v>
      </c>
      <c r="C94" s="158">
        <v>0</v>
      </c>
      <c r="D94" s="158">
        <v>0</v>
      </c>
      <c r="E94" s="158">
        <v>0</v>
      </c>
      <c r="F94" s="159">
        <v>0</v>
      </c>
      <c r="G94" s="158">
        <v>0</v>
      </c>
      <c r="H94" s="160">
        <v>6</v>
      </c>
    </row>
    <row r="95" spans="2:8">
      <c r="B95" s="163" t="s">
        <v>30</v>
      </c>
      <c r="C95" s="163">
        <v>28</v>
      </c>
      <c r="D95" s="163">
        <v>10</v>
      </c>
      <c r="E95" s="163">
        <v>13</v>
      </c>
      <c r="F95" s="163">
        <v>32</v>
      </c>
      <c r="G95" s="164">
        <v>4</v>
      </c>
      <c r="H95" s="165">
        <f>C19</f>
        <v>91</v>
      </c>
    </row>
    <row r="96" spans="2:8">
      <c r="B96" s="166" t="s">
        <v>31</v>
      </c>
      <c r="C96" s="166">
        <v>28</v>
      </c>
      <c r="D96" s="166">
        <v>6</v>
      </c>
      <c r="E96" s="166">
        <v>13</v>
      </c>
      <c r="F96" s="166">
        <v>49</v>
      </c>
      <c r="G96" s="167">
        <v>4</v>
      </c>
      <c r="H96" s="168">
        <f>C20</f>
        <v>113</v>
      </c>
    </row>
    <row r="97" spans="2:20" ht="23.25">
      <c r="B97" s="127"/>
    </row>
    <row r="98" spans="2:20" ht="23.25">
      <c r="B98" s="127" t="s">
        <v>736</v>
      </c>
    </row>
    <row r="99" spans="2:20" ht="15.75">
      <c r="B99" s="150" t="s">
        <v>846</v>
      </c>
    </row>
    <row r="100" spans="2:20">
      <c r="B100" s="149" t="s">
        <v>845</v>
      </c>
      <c r="J100" s="169"/>
      <c r="K100" s="170"/>
      <c r="L100" s="170"/>
      <c r="M100" s="170"/>
      <c r="N100" s="170"/>
    </row>
    <row r="101" spans="2:20">
      <c r="B101" s="151" t="s">
        <v>14</v>
      </c>
      <c r="C101" s="152" t="s">
        <v>32</v>
      </c>
      <c r="D101" s="152" t="s">
        <v>33</v>
      </c>
      <c r="E101" s="152" t="s">
        <v>34</v>
      </c>
      <c r="F101" s="152" t="s">
        <v>35</v>
      </c>
      <c r="G101" s="152">
        <v>2016</v>
      </c>
      <c r="H101" s="153" t="s">
        <v>28</v>
      </c>
      <c r="J101" s="169"/>
      <c r="K101" s="170"/>
      <c r="L101" s="170"/>
      <c r="M101" s="170"/>
      <c r="N101" s="170"/>
    </row>
    <row r="102" spans="2:20">
      <c r="B102" s="63" t="str">
        <f t="shared" ref="B102:B111" si="9">B85</f>
        <v>New Zealand</v>
      </c>
      <c r="C102" s="64">
        <f t="shared" ref="C102:C113" si="10">IFERROR(C85/H85,"-")</f>
        <v>0.3</v>
      </c>
      <c r="D102" s="64">
        <f t="shared" ref="D102:D113" si="11">IFERROR(D85/H85,"-")</f>
        <v>0.1</v>
      </c>
      <c r="E102" s="64">
        <f t="shared" ref="E102:E113" si="12">IFERROR(E85/H85,"-")</f>
        <v>0.17499999999999999</v>
      </c>
      <c r="F102" s="64">
        <f t="shared" ref="F102:F113" si="13">IFERROR(F85/H85,"-")</f>
        <v>0.35</v>
      </c>
      <c r="G102" s="64">
        <f t="shared" ref="G102:G113" si="14">IFERROR(G85/H85,"-")</f>
        <v>0</v>
      </c>
      <c r="H102" s="78">
        <f t="shared" ref="H102:H113" si="15">H85</f>
        <v>40</v>
      </c>
      <c r="J102" s="169"/>
      <c r="K102" s="170"/>
      <c r="L102" s="170"/>
      <c r="M102" s="170"/>
      <c r="N102" s="170"/>
    </row>
    <row r="103" spans="2:20">
      <c r="B103" s="66" t="str">
        <f t="shared" si="9"/>
        <v>England</v>
      </c>
      <c r="C103" s="54">
        <f t="shared" si="10"/>
        <v>0.37037037037037035</v>
      </c>
      <c r="D103" s="54">
        <f t="shared" si="11"/>
        <v>0.1111111111111111</v>
      </c>
      <c r="E103" s="54">
        <f t="shared" si="12"/>
        <v>0.1111111111111111</v>
      </c>
      <c r="F103" s="54">
        <f t="shared" si="13"/>
        <v>0.22222222222222221</v>
      </c>
      <c r="G103" s="54">
        <f t="shared" si="14"/>
        <v>0</v>
      </c>
      <c r="H103" s="79">
        <f t="shared" si="15"/>
        <v>27</v>
      </c>
      <c r="J103" s="169"/>
      <c r="K103" s="170"/>
      <c r="L103" s="170"/>
      <c r="M103" s="170"/>
      <c r="N103" s="170"/>
    </row>
    <row r="104" spans="2:20">
      <c r="B104" s="63" t="str">
        <f t="shared" si="9"/>
        <v>Fiji</v>
      </c>
      <c r="C104" s="64">
        <f t="shared" si="10"/>
        <v>0</v>
      </c>
      <c r="D104" s="64">
        <f t="shared" si="11"/>
        <v>0</v>
      </c>
      <c r="E104" s="64">
        <f t="shared" si="12"/>
        <v>0.2</v>
      </c>
      <c r="F104" s="64">
        <f t="shared" si="13"/>
        <v>0.66666666666666663</v>
      </c>
      <c r="G104" s="64">
        <f t="shared" si="14"/>
        <v>0</v>
      </c>
      <c r="H104" s="80">
        <f t="shared" si="15"/>
        <v>15</v>
      </c>
      <c r="J104" s="169"/>
      <c r="K104" s="170"/>
      <c r="L104" s="170"/>
      <c r="M104" s="170"/>
      <c r="N104" s="170"/>
    </row>
    <row r="105" spans="2:20">
      <c r="B105" s="66" t="str">
        <f t="shared" si="9"/>
        <v>India</v>
      </c>
      <c r="C105" s="54">
        <f t="shared" si="10"/>
        <v>0</v>
      </c>
      <c r="D105" s="54">
        <f t="shared" si="11"/>
        <v>0</v>
      </c>
      <c r="E105" s="54">
        <f t="shared" si="12"/>
        <v>0</v>
      </c>
      <c r="F105" s="54">
        <f t="shared" si="13"/>
        <v>0.66666666666666663</v>
      </c>
      <c r="G105" s="54">
        <f t="shared" si="14"/>
        <v>0</v>
      </c>
      <c r="H105" s="79">
        <f t="shared" si="15"/>
        <v>15</v>
      </c>
      <c r="J105" s="169"/>
      <c r="K105" s="170"/>
      <c r="L105" s="170"/>
      <c r="M105" s="170"/>
      <c r="N105" s="170"/>
    </row>
    <row r="106" spans="2:20">
      <c r="B106" s="63" t="str">
        <f t="shared" si="9"/>
        <v>France</v>
      </c>
      <c r="C106" s="64">
        <f t="shared" si="10"/>
        <v>0</v>
      </c>
      <c r="D106" s="64">
        <f t="shared" si="11"/>
        <v>0</v>
      </c>
      <c r="E106" s="64">
        <f t="shared" si="12"/>
        <v>0</v>
      </c>
      <c r="F106" s="64">
        <f t="shared" si="13"/>
        <v>0</v>
      </c>
      <c r="G106" s="64">
        <f t="shared" si="14"/>
        <v>0</v>
      </c>
      <c r="H106" s="80">
        <f t="shared" si="15"/>
        <v>11</v>
      </c>
      <c r="J106" s="169"/>
      <c r="K106" s="170"/>
      <c r="L106" s="170"/>
      <c r="M106" s="170"/>
      <c r="N106" s="170"/>
    </row>
    <row r="107" spans="2:20">
      <c r="B107" s="66" t="str">
        <f t="shared" si="9"/>
        <v>Ireland</v>
      </c>
      <c r="C107" s="54">
        <f t="shared" si="10"/>
        <v>0</v>
      </c>
      <c r="D107" s="54">
        <f t="shared" si="11"/>
        <v>0</v>
      </c>
      <c r="E107" s="54">
        <f t="shared" si="12"/>
        <v>0</v>
      </c>
      <c r="F107" s="54">
        <f t="shared" si="13"/>
        <v>0.7</v>
      </c>
      <c r="G107" s="54">
        <f t="shared" si="14"/>
        <v>0</v>
      </c>
      <c r="H107" s="79">
        <f t="shared" si="15"/>
        <v>10</v>
      </c>
      <c r="J107" s="169"/>
      <c r="K107" s="170"/>
      <c r="L107" s="170"/>
      <c r="M107" s="170"/>
      <c r="N107" s="170"/>
    </row>
    <row r="108" spans="2:20">
      <c r="B108" s="63" t="str">
        <f t="shared" si="9"/>
        <v>Germany</v>
      </c>
      <c r="C108" s="64">
        <f t="shared" si="10"/>
        <v>0.375</v>
      </c>
      <c r="D108" s="64">
        <f t="shared" si="11"/>
        <v>0</v>
      </c>
      <c r="E108" s="64">
        <f t="shared" si="12"/>
        <v>0</v>
      </c>
      <c r="F108" s="64">
        <f t="shared" si="13"/>
        <v>0.875</v>
      </c>
      <c r="G108" s="64">
        <f t="shared" si="14"/>
        <v>0</v>
      </c>
      <c r="H108" s="80">
        <f t="shared" si="15"/>
        <v>8</v>
      </c>
      <c r="O108" s="170"/>
      <c r="P108" s="170"/>
      <c r="Q108" s="170"/>
      <c r="R108" s="170"/>
      <c r="S108" s="170"/>
      <c r="T108" s="170"/>
    </row>
    <row r="109" spans="2:20">
      <c r="B109" s="66" t="str">
        <f t="shared" si="9"/>
        <v>Italy</v>
      </c>
      <c r="C109" s="54">
        <f t="shared" si="10"/>
        <v>0</v>
      </c>
      <c r="D109" s="54">
        <f t="shared" si="11"/>
        <v>0</v>
      </c>
      <c r="E109" s="54">
        <f t="shared" si="12"/>
        <v>0</v>
      </c>
      <c r="F109" s="54">
        <f t="shared" si="13"/>
        <v>0.5714285714285714</v>
      </c>
      <c r="G109" s="54">
        <f t="shared" si="14"/>
        <v>0</v>
      </c>
      <c r="H109" s="79">
        <f t="shared" si="15"/>
        <v>7</v>
      </c>
    </row>
    <row r="110" spans="2:20">
      <c r="B110" s="63" t="str">
        <f t="shared" si="9"/>
        <v>Taiwan</v>
      </c>
      <c r="C110" s="64">
        <f t="shared" si="10"/>
        <v>0</v>
      </c>
      <c r="D110" s="64">
        <f t="shared" si="11"/>
        <v>0</v>
      </c>
      <c r="E110" s="64">
        <f t="shared" si="12"/>
        <v>0</v>
      </c>
      <c r="F110" s="64">
        <f t="shared" si="13"/>
        <v>0.83333333333333337</v>
      </c>
      <c r="G110" s="64">
        <f t="shared" si="14"/>
        <v>0</v>
      </c>
      <c r="H110" s="80">
        <f t="shared" si="15"/>
        <v>6</v>
      </c>
    </row>
    <row r="111" spans="2:20">
      <c r="B111" s="81" t="str">
        <f t="shared" si="9"/>
        <v>United States of America</v>
      </c>
      <c r="C111" s="82">
        <f t="shared" si="10"/>
        <v>0</v>
      </c>
      <c r="D111" s="82">
        <f t="shared" si="11"/>
        <v>0</v>
      </c>
      <c r="E111" s="82">
        <f t="shared" si="12"/>
        <v>0</v>
      </c>
      <c r="F111" s="82">
        <f t="shared" si="13"/>
        <v>0</v>
      </c>
      <c r="G111" s="82">
        <f t="shared" si="14"/>
        <v>0</v>
      </c>
      <c r="H111" s="83">
        <f t="shared" si="15"/>
        <v>6</v>
      </c>
    </row>
    <row r="112" spans="2:20">
      <c r="B112" s="72" t="s">
        <v>30</v>
      </c>
      <c r="C112" s="73">
        <f t="shared" si="10"/>
        <v>0.30769230769230771</v>
      </c>
      <c r="D112" s="73">
        <f t="shared" si="11"/>
        <v>0.10989010989010989</v>
      </c>
      <c r="E112" s="73">
        <f t="shared" si="12"/>
        <v>0.14285714285714285</v>
      </c>
      <c r="F112" s="73">
        <f t="shared" si="13"/>
        <v>0.35164835164835168</v>
      </c>
      <c r="G112" s="73">
        <f t="shared" si="14"/>
        <v>4.3956043956043959E-2</v>
      </c>
      <c r="H112" s="171">
        <f t="shared" si="15"/>
        <v>91</v>
      </c>
    </row>
    <row r="113" spans="2:8">
      <c r="B113" s="75" t="s">
        <v>31</v>
      </c>
      <c r="C113" s="76">
        <f t="shared" si="10"/>
        <v>0.24778761061946902</v>
      </c>
      <c r="D113" s="76">
        <f t="shared" si="11"/>
        <v>5.3097345132743362E-2</v>
      </c>
      <c r="E113" s="76">
        <f t="shared" si="12"/>
        <v>0.11504424778761062</v>
      </c>
      <c r="F113" s="76">
        <f t="shared" si="13"/>
        <v>0.4336283185840708</v>
      </c>
      <c r="G113" s="76">
        <f t="shared" si="14"/>
        <v>3.5398230088495575E-2</v>
      </c>
      <c r="H113" s="172">
        <f t="shared" si="15"/>
        <v>113</v>
      </c>
    </row>
    <row r="115" spans="2:8" ht="23.25">
      <c r="B115" s="127" t="s">
        <v>737</v>
      </c>
    </row>
    <row r="116" spans="2:8" ht="15.75">
      <c r="B116" s="150" t="s">
        <v>330</v>
      </c>
    </row>
    <row r="117" spans="2:8" ht="25.5">
      <c r="B117" s="173" t="s">
        <v>36</v>
      </c>
      <c r="C117" s="173" t="s">
        <v>37</v>
      </c>
      <c r="D117" s="173" t="s">
        <v>38</v>
      </c>
      <c r="E117" s="173" t="s">
        <v>6</v>
      </c>
      <c r="F117" s="173" t="s">
        <v>39</v>
      </c>
      <c r="G117" s="173" t="s">
        <v>7</v>
      </c>
      <c r="H117" s="173" t="s">
        <v>40</v>
      </c>
    </row>
    <row r="118" spans="2:8">
      <c r="B118" s="155" t="s">
        <v>95</v>
      </c>
      <c r="C118" s="207">
        <v>1968</v>
      </c>
      <c r="D118" s="207">
        <v>2048</v>
      </c>
      <c r="E118" s="207">
        <v>4015</v>
      </c>
      <c r="F118" s="207">
        <f>IFERROR(Table792226894100118124[[#This Row],[Persons]]/$C$23,"..")</f>
        <v>0.97356935014548984</v>
      </c>
      <c r="G118" s="207">
        <v>3680</v>
      </c>
      <c r="H118" s="207">
        <f t="shared" ref="H118:H128" si="16">IFERROR(((E118-G118)/G118),"..")</f>
        <v>9.1032608695652176E-2</v>
      </c>
    </row>
    <row r="119" spans="2:8">
      <c r="B119" s="158" t="s">
        <v>97</v>
      </c>
      <c r="C119" s="209">
        <v>9</v>
      </c>
      <c r="D119" s="209">
        <v>7</v>
      </c>
      <c r="E119" s="209">
        <v>14</v>
      </c>
      <c r="F119" s="209">
        <f>IFERROR(Table792226894100118124[[#This Row],[Persons]]/$C$23,"..")</f>
        <v>3.3947623666343357E-3</v>
      </c>
      <c r="G119" s="209">
        <v>12</v>
      </c>
      <c r="H119" s="209">
        <f t="shared" si="16"/>
        <v>0.16666666666666666</v>
      </c>
    </row>
    <row r="120" spans="2:8">
      <c r="B120" s="155" t="s">
        <v>146</v>
      </c>
      <c r="C120" s="207">
        <v>7</v>
      </c>
      <c r="D120" s="207">
        <v>3</v>
      </c>
      <c r="E120" s="207">
        <v>10</v>
      </c>
      <c r="F120" s="207">
        <f>IFERROR(Table792226894100118124[[#This Row],[Persons]]/$C$23,"..")</f>
        <v>2.4248302618816685E-3</v>
      </c>
      <c r="G120" s="207" t="s">
        <v>94</v>
      </c>
      <c r="H120" s="207" t="str">
        <f t="shared" si="16"/>
        <v>..</v>
      </c>
    </row>
    <row r="121" spans="2:8">
      <c r="B121" s="158" t="s">
        <v>98</v>
      </c>
      <c r="C121" s="209">
        <v>3</v>
      </c>
      <c r="D121" s="209">
        <v>3</v>
      </c>
      <c r="E121" s="209">
        <v>8</v>
      </c>
      <c r="F121" s="209">
        <f>IFERROR(Table792226894100118124[[#This Row],[Persons]]/$C$23,"..")</f>
        <v>1.9398642095053346E-3</v>
      </c>
      <c r="G121" s="209" t="s">
        <v>94</v>
      </c>
      <c r="H121" s="209" t="str">
        <f t="shared" si="16"/>
        <v>..</v>
      </c>
    </row>
    <row r="122" spans="2:8">
      <c r="B122" s="155" t="s">
        <v>96</v>
      </c>
      <c r="C122" s="207" t="s">
        <v>94</v>
      </c>
      <c r="D122" s="207" t="s">
        <v>94</v>
      </c>
      <c r="E122" s="207">
        <v>7</v>
      </c>
      <c r="F122" s="207">
        <f>IFERROR(Table792226894100118124[[#This Row],[Persons]]/$C$23,"..")</f>
        <v>1.6973811833171678E-3</v>
      </c>
      <c r="G122" s="207" t="s">
        <v>94</v>
      </c>
      <c r="H122" s="207" t="str">
        <f t="shared" si="16"/>
        <v>..</v>
      </c>
    </row>
    <row r="123" spans="2:8">
      <c r="B123" s="158" t="s">
        <v>225</v>
      </c>
      <c r="C123" s="209" t="s">
        <v>94</v>
      </c>
      <c r="D123" s="209" t="s">
        <v>94</v>
      </c>
      <c r="E123" s="209">
        <v>6</v>
      </c>
      <c r="F123" s="209">
        <f>IFERROR(Table792226894100118124[[#This Row],[Persons]]/$C$23,"..")</f>
        <v>1.454898157129001E-3</v>
      </c>
      <c r="G123" s="209" t="s">
        <v>94</v>
      </c>
      <c r="H123" s="209" t="str">
        <f t="shared" si="16"/>
        <v>..</v>
      </c>
    </row>
    <row r="124" spans="2:8">
      <c r="B124" s="155" t="s">
        <v>105</v>
      </c>
      <c r="C124" s="207">
        <v>4</v>
      </c>
      <c r="D124" s="207">
        <v>3</v>
      </c>
      <c r="E124" s="207">
        <v>5</v>
      </c>
      <c r="F124" s="207">
        <f>IFERROR(Table792226894100118124[[#This Row],[Persons]]/$C$23,"..")</f>
        <v>1.2124151309408342E-3</v>
      </c>
      <c r="G124" s="207" t="s">
        <v>94</v>
      </c>
      <c r="H124" s="207" t="str">
        <f t="shared" si="16"/>
        <v>..</v>
      </c>
    </row>
    <row r="125" spans="2:8">
      <c r="B125" s="158" t="s">
        <v>103</v>
      </c>
      <c r="C125" s="209">
        <v>3</v>
      </c>
      <c r="D125" s="209" t="s">
        <v>94</v>
      </c>
      <c r="E125" s="209">
        <v>5</v>
      </c>
      <c r="F125" s="209">
        <f>IFERROR(Table792226894100118124[[#This Row],[Persons]]/$C$23,"..")</f>
        <v>1.2124151309408342E-3</v>
      </c>
      <c r="G125" s="209" t="s">
        <v>94</v>
      </c>
      <c r="H125" s="209" t="str">
        <f t="shared" si="16"/>
        <v>..</v>
      </c>
    </row>
    <row r="126" spans="2:8">
      <c r="B126" s="155" t="s">
        <v>53</v>
      </c>
      <c r="C126" s="207">
        <v>5</v>
      </c>
      <c r="D126" s="207">
        <v>4</v>
      </c>
      <c r="E126" s="207">
        <v>5</v>
      </c>
      <c r="F126" s="207">
        <f>IFERROR(Table792226894100118124[[#This Row],[Persons]]/$C$23,"..")</f>
        <v>1.2124151309408342E-3</v>
      </c>
      <c r="G126" s="207" t="s">
        <v>94</v>
      </c>
      <c r="H126" s="207" t="str">
        <f t="shared" si="16"/>
        <v>..</v>
      </c>
    </row>
    <row r="127" spans="2:8">
      <c r="B127" s="158" t="s">
        <v>195</v>
      </c>
      <c r="C127" s="209" t="s">
        <v>94</v>
      </c>
      <c r="D127" s="209" t="s">
        <v>94</v>
      </c>
      <c r="E127" s="209">
        <v>5</v>
      </c>
      <c r="F127" s="209">
        <f>IFERROR(Table792226894100118124[[#This Row],[Persons]]/$C$23,"..")</f>
        <v>1.2124151309408342E-3</v>
      </c>
      <c r="G127" s="209" t="s">
        <v>94</v>
      </c>
      <c r="H127" s="209" t="str">
        <f t="shared" si="16"/>
        <v>..</v>
      </c>
    </row>
    <row r="128" spans="2:8">
      <c r="B128" s="158" t="s">
        <v>127</v>
      </c>
      <c r="C128" s="209">
        <f>Table792226894100118124[[#Totals],[Males]]-SUM(C118:C127)</f>
        <v>34</v>
      </c>
      <c r="D128" s="209">
        <f>Table792226894100118124[[#Totals],[Females]]-SUM(D118:D127)</f>
        <v>25</v>
      </c>
      <c r="E128" s="209">
        <f>Table792226894100118124[[#Totals],[Persons]]-SUM(E118:E127)</f>
        <v>44</v>
      </c>
      <c r="F128" s="209">
        <f>IFERROR(Table792226894100118124[[#This Row],[Persons]]/$C$23,"..")</f>
        <v>1.066925315227934E-2</v>
      </c>
      <c r="G128" s="209">
        <f>Table792226894100118124[[#Totals],[2011 Census]]-SUM(G118:G127)</f>
        <v>23</v>
      </c>
      <c r="H128" s="209">
        <f t="shared" si="16"/>
        <v>0.91304347826086951</v>
      </c>
    </row>
    <row r="129" spans="2:9">
      <c r="B129" s="284" t="s">
        <v>872</v>
      </c>
      <c r="C129" s="1119" t="s">
        <v>226</v>
      </c>
      <c r="D129" s="1119" t="s">
        <v>227</v>
      </c>
      <c r="E129" s="540" t="s">
        <v>228</v>
      </c>
      <c r="F129" s="540" t="s">
        <v>22</v>
      </c>
      <c r="G129" s="540">
        <f>E23</f>
        <v>3715</v>
      </c>
      <c r="H129" s="637">
        <f>(Table792226894100118124[[#Totals],[Persons]]-Table792226894100118124[[#Totals],[2011 Census]])/Table792226894100118124[[#Totals],[2011 Census]]</f>
        <v>0.11009421265141318</v>
      </c>
    </row>
    <row r="130" spans="2:9">
      <c r="B130" s="389" t="s">
        <v>873</v>
      </c>
      <c r="C130" s="180"/>
      <c r="D130" s="180"/>
      <c r="E130" s="180"/>
      <c r="F130" s="181"/>
      <c r="G130" s="180"/>
      <c r="H130" s="180"/>
      <c r="I130" s="182"/>
    </row>
    <row r="131" spans="2:9">
      <c r="B131" s="183"/>
      <c r="C131" s="183"/>
      <c r="D131" s="183"/>
      <c r="E131" s="183"/>
      <c r="F131" s="174"/>
      <c r="G131" s="553"/>
      <c r="H131" s="183"/>
      <c r="I131" s="183"/>
    </row>
    <row r="132" spans="2:9" ht="23.25">
      <c r="B132" s="127" t="s">
        <v>738</v>
      </c>
    </row>
    <row r="133" spans="2:9" ht="15.75">
      <c r="B133" s="150" t="s">
        <v>825</v>
      </c>
    </row>
    <row r="134" spans="2:9">
      <c r="B134" s="140" t="s">
        <v>36</v>
      </c>
      <c r="C134" s="145" t="s">
        <v>42</v>
      </c>
      <c r="D134" s="145" t="s">
        <v>43</v>
      </c>
      <c r="E134" s="145" t="s">
        <v>44</v>
      </c>
      <c r="F134" s="145" t="s">
        <v>45</v>
      </c>
      <c r="G134" s="145" t="s">
        <v>46</v>
      </c>
      <c r="H134" s="145" t="s">
        <v>28</v>
      </c>
    </row>
    <row r="135" spans="2:9">
      <c r="B135" s="185" t="s">
        <v>95</v>
      </c>
      <c r="C135" s="186"/>
      <c r="D135" s="186"/>
      <c r="E135" s="186"/>
      <c r="F135" s="186"/>
      <c r="G135" s="186"/>
      <c r="H135" s="187"/>
    </row>
    <row r="136" spans="2:9">
      <c r="B136" s="188" t="s">
        <v>48</v>
      </c>
      <c r="C136" s="209">
        <v>801</v>
      </c>
      <c r="D136" s="209">
        <v>700</v>
      </c>
      <c r="E136" s="209">
        <v>1158</v>
      </c>
      <c r="F136" s="209">
        <v>589</v>
      </c>
      <c r="G136" s="209">
        <v>85</v>
      </c>
      <c r="H136" s="210">
        <v>3330</v>
      </c>
    </row>
    <row r="137" spans="2:9">
      <c r="B137" s="191" t="s">
        <v>49</v>
      </c>
      <c r="C137" s="207">
        <v>365</v>
      </c>
      <c r="D137" s="207">
        <v>41</v>
      </c>
      <c r="E137" s="207">
        <v>56</v>
      </c>
      <c r="F137" s="207">
        <v>34</v>
      </c>
      <c r="G137" s="207">
        <v>33</v>
      </c>
      <c r="H137" s="208">
        <v>523</v>
      </c>
    </row>
    <row r="138" spans="2:9">
      <c r="B138" s="188" t="s">
        <v>50</v>
      </c>
      <c r="C138" s="209">
        <v>1263</v>
      </c>
      <c r="D138" s="209">
        <v>760</v>
      </c>
      <c r="E138" s="209">
        <v>1237</v>
      </c>
      <c r="F138" s="209">
        <v>638</v>
      </c>
      <c r="G138" s="209">
        <v>115</v>
      </c>
      <c r="H138" s="210">
        <v>4015</v>
      </c>
    </row>
    <row r="139" spans="2:9">
      <c r="B139" s="194" t="s">
        <v>51</v>
      </c>
      <c r="C139" s="96">
        <f>IFERROR(C137/H138,"-")</f>
        <v>9.0909090909090912E-2</v>
      </c>
      <c r="D139" s="96">
        <f>IFERROR(D137/$H$137,"-")</f>
        <v>7.8393881453154873E-2</v>
      </c>
      <c r="E139" s="96">
        <f>IFERROR(E137/$H$137,"-")</f>
        <v>0.10707456978967496</v>
      </c>
      <c r="F139" s="96">
        <f>IFERROR(F137/$H$137,"-")</f>
        <v>6.5009560229445512E-2</v>
      </c>
      <c r="G139" s="96">
        <f>IFERROR(G137/$H$137,"-")</f>
        <v>6.3097514340344163E-2</v>
      </c>
      <c r="H139" s="97">
        <f>IFERROR(H137/$H$137,"-")</f>
        <v>1</v>
      </c>
    </row>
    <row r="140" spans="2:9">
      <c r="B140" s="195" t="s">
        <v>97</v>
      </c>
      <c r="C140" s="196"/>
      <c r="D140" s="196"/>
      <c r="E140" s="196"/>
      <c r="F140" s="196"/>
      <c r="G140" s="196"/>
      <c r="H140" s="197"/>
    </row>
    <row r="141" spans="2:9">
      <c r="B141" s="191" t="s">
        <v>48</v>
      </c>
      <c r="C141" s="241">
        <v>5</v>
      </c>
      <c r="D141" s="241">
        <v>0</v>
      </c>
      <c r="E141" s="241">
        <v>0</v>
      </c>
      <c r="F141" s="241">
        <v>7</v>
      </c>
      <c r="G141" s="241">
        <v>3</v>
      </c>
      <c r="H141" s="203">
        <v>14</v>
      </c>
    </row>
    <row r="142" spans="2:9">
      <c r="B142" s="188" t="s">
        <v>49</v>
      </c>
      <c r="C142" s="238"/>
      <c r="D142" s="238"/>
      <c r="E142" s="238"/>
      <c r="F142" s="238"/>
      <c r="G142" s="238"/>
      <c r="H142" s="554"/>
    </row>
    <row r="143" spans="2:9">
      <c r="B143" s="191" t="s">
        <v>50</v>
      </c>
      <c r="C143" s="241">
        <v>5</v>
      </c>
      <c r="D143" s="241">
        <v>0</v>
      </c>
      <c r="E143" s="241">
        <v>0</v>
      </c>
      <c r="F143" s="241">
        <v>7</v>
      </c>
      <c r="G143" s="241">
        <v>3</v>
      </c>
      <c r="H143" s="203">
        <v>14</v>
      </c>
    </row>
    <row r="144" spans="2:9">
      <c r="B144" s="202" t="s">
        <v>51</v>
      </c>
      <c r="C144" s="101">
        <f>IFERROR(C142/$H$143,"-")</f>
        <v>0</v>
      </c>
      <c r="D144" s="101">
        <f t="shared" ref="D144:H144" si="17">IFERROR(D142/$H$143,"-")</f>
        <v>0</v>
      </c>
      <c r="E144" s="101">
        <f t="shared" si="17"/>
        <v>0</v>
      </c>
      <c r="F144" s="101">
        <f t="shared" si="17"/>
        <v>0</v>
      </c>
      <c r="G144" s="101">
        <f t="shared" si="17"/>
        <v>0</v>
      </c>
      <c r="H144" s="99">
        <f t="shared" si="17"/>
        <v>0</v>
      </c>
    </row>
    <row r="145" spans="2:8">
      <c r="B145" s="185" t="s">
        <v>146</v>
      </c>
      <c r="C145" s="186"/>
      <c r="D145" s="186"/>
      <c r="E145" s="186"/>
      <c r="F145" s="186"/>
      <c r="G145" s="186"/>
      <c r="H145" s="203"/>
    </row>
    <row r="146" spans="2:8">
      <c r="B146" s="188" t="s">
        <v>48</v>
      </c>
      <c r="C146" s="238">
        <v>6</v>
      </c>
      <c r="D146" s="238">
        <v>0</v>
      </c>
      <c r="E146" s="238">
        <v>7</v>
      </c>
      <c r="F146" s="239">
        <v>6</v>
      </c>
      <c r="G146" s="434">
        <v>0</v>
      </c>
      <c r="H146" s="554">
        <v>10</v>
      </c>
    </row>
    <row r="147" spans="2:8">
      <c r="B147" s="191" t="s">
        <v>49</v>
      </c>
      <c r="C147" s="241">
        <v>3</v>
      </c>
      <c r="D147" s="241">
        <v>0</v>
      </c>
      <c r="E147" s="241">
        <v>0</v>
      </c>
      <c r="F147" s="242">
        <v>0</v>
      </c>
      <c r="G147" s="241">
        <v>0</v>
      </c>
      <c r="H147" s="203">
        <v>3</v>
      </c>
    </row>
    <row r="148" spans="2:8">
      <c r="B148" s="188" t="s">
        <v>50</v>
      </c>
      <c r="C148" s="238">
        <v>7</v>
      </c>
      <c r="D148" s="238">
        <v>0</v>
      </c>
      <c r="E148" s="238">
        <v>7</v>
      </c>
      <c r="F148" s="238">
        <v>6</v>
      </c>
      <c r="G148" s="435">
        <v>0</v>
      </c>
      <c r="H148" s="554">
        <v>10</v>
      </c>
    </row>
    <row r="149" spans="2:8">
      <c r="B149" s="194" t="s">
        <v>51</v>
      </c>
      <c r="C149" s="96">
        <f>IFERROR(C147/$H$148,"-")</f>
        <v>0.3</v>
      </c>
      <c r="D149" s="96">
        <f t="shared" ref="D149:H149" si="18">IFERROR(D147/$H$148,"-")</f>
        <v>0</v>
      </c>
      <c r="E149" s="96">
        <f t="shared" si="18"/>
        <v>0</v>
      </c>
      <c r="F149" s="96">
        <f t="shared" si="18"/>
        <v>0</v>
      </c>
      <c r="G149" s="96">
        <f t="shared" si="18"/>
        <v>0</v>
      </c>
      <c r="H149" s="97">
        <f t="shared" si="18"/>
        <v>0.3</v>
      </c>
    </row>
    <row r="150" spans="2:8">
      <c r="B150" s="195"/>
      <c r="C150" s="196"/>
      <c r="D150" s="196"/>
      <c r="E150" s="196"/>
      <c r="F150" s="196"/>
      <c r="G150" s="196"/>
      <c r="H150" s="197"/>
    </row>
    <row r="151" spans="2:8">
      <c r="B151" s="191" t="s">
        <v>48</v>
      </c>
      <c r="C151" s="241"/>
      <c r="D151" s="241"/>
      <c r="E151" s="241"/>
      <c r="F151" s="241"/>
      <c r="G151" s="241"/>
      <c r="H151" s="203"/>
    </row>
    <row r="152" spans="2:8">
      <c r="B152" s="188" t="s">
        <v>49</v>
      </c>
      <c r="C152" s="238"/>
      <c r="D152" s="238"/>
      <c r="E152" s="238"/>
      <c r="F152" s="238"/>
      <c r="G152" s="238"/>
      <c r="H152" s="554"/>
    </row>
    <row r="153" spans="2:8">
      <c r="B153" s="191" t="s">
        <v>50</v>
      </c>
      <c r="C153" s="241"/>
      <c r="D153" s="241"/>
      <c r="E153" s="241"/>
      <c r="F153" s="241"/>
      <c r="G153" s="241"/>
      <c r="H153" s="203"/>
    </row>
    <row r="154" spans="2:8">
      <c r="B154" s="202" t="s">
        <v>51</v>
      </c>
      <c r="C154" s="98" t="str">
        <f>IFERROR(C152/$H$153,"-")</f>
        <v>-</v>
      </c>
      <c r="D154" s="98" t="str">
        <f t="shared" ref="D154:H154" si="19">IFERROR(D152/$H$153,"-")</f>
        <v>-</v>
      </c>
      <c r="E154" s="98" t="str">
        <f t="shared" si="19"/>
        <v>-</v>
      </c>
      <c r="F154" s="98" t="str">
        <f t="shared" si="19"/>
        <v>-</v>
      </c>
      <c r="G154" s="98" t="str">
        <f t="shared" si="19"/>
        <v>-</v>
      </c>
      <c r="H154" s="100" t="str">
        <f t="shared" si="19"/>
        <v>-</v>
      </c>
    </row>
    <row r="155" spans="2:8">
      <c r="B155" s="185"/>
      <c r="C155" s="186"/>
      <c r="D155" s="186"/>
      <c r="E155" s="186"/>
      <c r="F155" s="186"/>
      <c r="G155" s="186"/>
      <c r="H155" s="187"/>
    </row>
    <row r="156" spans="2:8">
      <c r="B156" s="188" t="s">
        <v>48</v>
      </c>
      <c r="C156" s="238"/>
      <c r="D156" s="238"/>
      <c r="E156" s="238"/>
      <c r="F156" s="238"/>
      <c r="G156" s="238"/>
      <c r="H156" s="554"/>
    </row>
    <row r="157" spans="2:8">
      <c r="B157" s="191" t="s">
        <v>49</v>
      </c>
      <c r="C157" s="241"/>
      <c r="D157" s="241"/>
      <c r="E157" s="241"/>
      <c r="F157" s="241"/>
      <c r="G157" s="241"/>
      <c r="H157" s="203"/>
    </row>
    <row r="158" spans="2:8">
      <c r="B158" s="188" t="s">
        <v>50</v>
      </c>
      <c r="C158" s="238"/>
      <c r="D158" s="238"/>
      <c r="E158" s="238"/>
      <c r="F158" s="238"/>
      <c r="G158" s="238"/>
      <c r="H158" s="554"/>
    </row>
    <row r="159" spans="2:8">
      <c r="B159" s="194" t="s">
        <v>51</v>
      </c>
      <c r="C159" s="96" t="str">
        <f>IFERROR(C157/$H$158,"-")</f>
        <v>-</v>
      </c>
      <c r="D159" s="96" t="str">
        <f t="shared" ref="D159:H159" si="20">IFERROR(D157/$H$158,"-")</f>
        <v>-</v>
      </c>
      <c r="E159" s="96" t="str">
        <f t="shared" si="20"/>
        <v>-</v>
      </c>
      <c r="F159" s="96" t="str">
        <f t="shared" si="20"/>
        <v>-</v>
      </c>
      <c r="G159" s="96" t="str">
        <f t="shared" si="20"/>
        <v>-</v>
      </c>
      <c r="H159" s="97" t="str">
        <f t="shared" si="20"/>
        <v>-</v>
      </c>
    </row>
    <row r="160" spans="2:8">
      <c r="B160" s="195" t="s">
        <v>114</v>
      </c>
      <c r="C160" s="196"/>
      <c r="D160" s="196"/>
      <c r="E160" s="196"/>
      <c r="F160" s="196"/>
      <c r="G160" s="196"/>
      <c r="H160" s="197"/>
    </row>
    <row r="161" spans="2:13">
      <c r="B161" s="191" t="s">
        <v>48</v>
      </c>
      <c r="C161" s="207">
        <v>809</v>
      </c>
      <c r="D161" s="207">
        <v>709</v>
      </c>
      <c r="E161" s="207">
        <v>1201</v>
      </c>
      <c r="F161" s="207">
        <v>604</v>
      </c>
      <c r="G161" s="207">
        <v>90</v>
      </c>
      <c r="H161" s="208">
        <v>3417</v>
      </c>
    </row>
    <row r="162" spans="2:13">
      <c r="B162" s="188" t="s">
        <v>49</v>
      </c>
      <c r="C162" s="209">
        <v>370</v>
      </c>
      <c r="D162" s="209">
        <v>40</v>
      </c>
      <c r="E162" s="209">
        <v>55</v>
      </c>
      <c r="F162" s="209">
        <v>33</v>
      </c>
      <c r="G162" s="209">
        <v>33</v>
      </c>
      <c r="H162" s="210">
        <v>528</v>
      </c>
    </row>
    <row r="163" spans="2:13">
      <c r="B163" s="191" t="s">
        <v>50</v>
      </c>
      <c r="C163" s="207">
        <v>1280</v>
      </c>
      <c r="D163" s="207">
        <v>772</v>
      </c>
      <c r="E163" s="207">
        <v>1288</v>
      </c>
      <c r="F163" s="207">
        <v>657</v>
      </c>
      <c r="G163" s="207">
        <v>122</v>
      </c>
      <c r="H163" s="208">
        <v>4117</v>
      </c>
    </row>
    <row r="164" spans="2:13">
      <c r="B164" s="202" t="s">
        <v>51</v>
      </c>
      <c r="C164" s="101">
        <f>IFERROR(C162/$H$163,"-")</f>
        <v>8.9871265484576149E-2</v>
      </c>
      <c r="D164" s="101">
        <f t="shared" ref="D164:H164" si="21">IFERROR(D162/$H$163,"-")</f>
        <v>9.7158124848190433E-3</v>
      </c>
      <c r="E164" s="101">
        <f t="shared" si="21"/>
        <v>1.3359242166626184E-2</v>
      </c>
      <c r="F164" s="101">
        <f t="shared" si="21"/>
        <v>8.0155452999757099E-3</v>
      </c>
      <c r="G164" s="101">
        <f t="shared" si="21"/>
        <v>8.0155452999757099E-3</v>
      </c>
      <c r="H164" s="99">
        <f t="shared" si="21"/>
        <v>0.12824872479961136</v>
      </c>
    </row>
    <row r="166" spans="2:13" ht="23.25">
      <c r="B166" s="127" t="s">
        <v>739</v>
      </c>
    </row>
    <row r="167" spans="2:13" ht="15.75">
      <c r="B167" s="150" t="s">
        <v>826</v>
      </c>
      <c r="J167" s="555"/>
    </row>
    <row r="168" spans="2:13">
      <c r="J168" s="329"/>
    </row>
    <row r="169" spans="2:13" ht="25.5">
      <c r="B169" s="916"/>
      <c r="C169" s="1233" t="s">
        <v>125</v>
      </c>
      <c r="D169" s="1234"/>
      <c r="E169" s="1234"/>
      <c r="F169" s="1238"/>
      <c r="G169" s="607" t="s">
        <v>10</v>
      </c>
      <c r="H169" s="212" t="s">
        <v>58</v>
      </c>
      <c r="I169" s="213" t="s">
        <v>70</v>
      </c>
    </row>
    <row r="170" spans="2:13" ht="63.75">
      <c r="B170" s="560" t="s">
        <v>879</v>
      </c>
      <c r="C170" s="214" t="s">
        <v>61</v>
      </c>
      <c r="D170" s="214" t="s">
        <v>60</v>
      </c>
      <c r="E170" s="214" t="s">
        <v>59</v>
      </c>
      <c r="F170" s="609" t="s">
        <v>848</v>
      </c>
      <c r="G170" s="214" t="s">
        <v>122</v>
      </c>
      <c r="H170" s="214" t="s">
        <v>640</v>
      </c>
      <c r="I170" s="215" t="s">
        <v>641</v>
      </c>
    </row>
    <row r="171" spans="2:13">
      <c r="B171" s="685" t="s">
        <v>118</v>
      </c>
      <c r="C171" s="686">
        <v>4607</v>
      </c>
      <c r="D171" s="686">
        <v>0</v>
      </c>
      <c r="E171" s="686">
        <v>11</v>
      </c>
      <c r="F171" s="686">
        <v>83</v>
      </c>
      <c r="G171" s="686">
        <v>0</v>
      </c>
      <c r="H171" s="686">
        <v>20</v>
      </c>
      <c r="I171" s="687">
        <v>4708</v>
      </c>
    </row>
    <row r="172" spans="2:13">
      <c r="B172" s="685" t="s">
        <v>116</v>
      </c>
      <c r="C172" s="686">
        <v>483</v>
      </c>
      <c r="D172" s="686">
        <v>4</v>
      </c>
      <c r="E172" s="686">
        <v>41</v>
      </c>
      <c r="F172" s="686">
        <v>16</v>
      </c>
      <c r="G172" s="686">
        <v>4</v>
      </c>
      <c r="H172" s="686">
        <v>28</v>
      </c>
      <c r="I172" s="687">
        <v>573</v>
      </c>
    </row>
    <row r="173" spans="2:13">
      <c r="B173" s="685" t="s">
        <v>115</v>
      </c>
      <c r="C173" s="686">
        <v>306</v>
      </c>
      <c r="D173" s="686">
        <v>13</v>
      </c>
      <c r="E173" s="686">
        <v>49</v>
      </c>
      <c r="F173" s="686">
        <v>3</v>
      </c>
      <c r="G173" s="686">
        <v>53</v>
      </c>
      <c r="H173" s="686">
        <v>27</v>
      </c>
      <c r="I173" s="687">
        <v>457</v>
      </c>
    </row>
    <row r="174" spans="2:13">
      <c r="B174" s="685" t="s">
        <v>117</v>
      </c>
      <c r="C174" s="686">
        <v>108</v>
      </c>
      <c r="D174" s="686">
        <v>8</v>
      </c>
      <c r="E174" s="686">
        <v>8</v>
      </c>
      <c r="F174" s="686">
        <v>7</v>
      </c>
      <c r="G174" s="686">
        <v>16</v>
      </c>
      <c r="H174" s="686">
        <v>8</v>
      </c>
      <c r="I174" s="687">
        <v>154</v>
      </c>
    </row>
    <row r="175" spans="2:13">
      <c r="B175" s="685" t="s">
        <v>119</v>
      </c>
      <c r="C175" s="686">
        <v>82</v>
      </c>
      <c r="D175" s="686">
        <v>3</v>
      </c>
      <c r="E175" s="686">
        <v>19</v>
      </c>
      <c r="F175" s="686">
        <v>0</v>
      </c>
      <c r="G175" s="686">
        <v>16</v>
      </c>
      <c r="H175" s="686">
        <v>6</v>
      </c>
      <c r="I175" s="687">
        <v>125</v>
      </c>
    </row>
    <row r="176" spans="2:13">
      <c r="B176" s="685" t="s">
        <v>97</v>
      </c>
      <c r="C176" s="686">
        <v>49</v>
      </c>
      <c r="D176" s="686">
        <v>3</v>
      </c>
      <c r="E176" s="686">
        <v>6</v>
      </c>
      <c r="F176" s="686">
        <v>3</v>
      </c>
      <c r="G176" s="686">
        <v>13</v>
      </c>
      <c r="H176" s="686">
        <v>6</v>
      </c>
      <c r="I176" s="687">
        <v>80</v>
      </c>
      <c r="M176" s="1120"/>
    </row>
    <row r="177" spans="2:9">
      <c r="B177" s="685" t="s">
        <v>244</v>
      </c>
      <c r="C177" s="686">
        <v>38</v>
      </c>
      <c r="D177" s="686">
        <v>0</v>
      </c>
      <c r="E177" s="686">
        <v>0</v>
      </c>
      <c r="F177" s="686">
        <v>0</v>
      </c>
      <c r="G177" s="686">
        <v>0</v>
      </c>
      <c r="H177" s="686">
        <v>0</v>
      </c>
      <c r="I177" s="687">
        <v>39</v>
      </c>
    </row>
    <row r="178" spans="2:9">
      <c r="B178" s="685" t="s">
        <v>98</v>
      </c>
      <c r="C178" s="686">
        <v>18</v>
      </c>
      <c r="D178" s="686">
        <v>0</v>
      </c>
      <c r="E178" s="686">
        <v>4</v>
      </c>
      <c r="F178" s="686">
        <v>0</v>
      </c>
      <c r="G178" s="686">
        <v>6</v>
      </c>
      <c r="H178" s="686">
        <v>0</v>
      </c>
      <c r="I178" s="687">
        <v>35</v>
      </c>
    </row>
    <row r="179" spans="2:9">
      <c r="B179" s="685" t="s">
        <v>112</v>
      </c>
      <c r="C179" s="686">
        <v>3</v>
      </c>
      <c r="D179" s="686">
        <v>0</v>
      </c>
      <c r="E179" s="686">
        <v>0</v>
      </c>
      <c r="F179" s="686">
        <v>0</v>
      </c>
      <c r="G179" s="686">
        <v>0</v>
      </c>
      <c r="H179" s="686">
        <v>0</v>
      </c>
      <c r="I179" s="687">
        <v>6</v>
      </c>
    </row>
    <row r="180" spans="2:9">
      <c r="B180" s="688" t="s">
        <v>111</v>
      </c>
      <c r="C180" s="689">
        <v>0</v>
      </c>
      <c r="D180" s="689">
        <v>3</v>
      </c>
      <c r="E180" s="689">
        <v>0</v>
      </c>
      <c r="F180" s="689">
        <v>0</v>
      </c>
      <c r="G180" s="689">
        <v>4</v>
      </c>
      <c r="H180" s="689">
        <v>3</v>
      </c>
      <c r="I180" s="690">
        <v>10</v>
      </c>
    </row>
    <row r="182" spans="2:9" ht="23.25">
      <c r="B182" s="127" t="s">
        <v>740</v>
      </c>
    </row>
    <row r="183" spans="2:9" ht="15.75">
      <c r="B183" s="150" t="s">
        <v>332</v>
      </c>
    </row>
    <row r="184" spans="2:9" ht="25.5">
      <c r="B184" s="173" t="s">
        <v>64</v>
      </c>
      <c r="C184" s="222" t="s">
        <v>37</v>
      </c>
      <c r="D184" s="222" t="s">
        <v>38</v>
      </c>
      <c r="E184" s="222" t="s">
        <v>6</v>
      </c>
      <c r="F184" s="222" t="s">
        <v>1</v>
      </c>
      <c r="G184" s="1213" t="s">
        <v>7</v>
      </c>
      <c r="H184" s="233" t="s">
        <v>65</v>
      </c>
      <c r="I184" s="233" t="s">
        <v>8</v>
      </c>
    </row>
    <row r="185" spans="2:9">
      <c r="B185" s="155" t="s">
        <v>149</v>
      </c>
      <c r="C185" s="103">
        <v>1088</v>
      </c>
      <c r="D185" s="103">
        <v>966</v>
      </c>
      <c r="E185" s="103">
        <v>2052</v>
      </c>
      <c r="F185" s="224">
        <f>(Table7922268119610210811410[[#This Row],[Persons]]/$C$15)</f>
        <v>0.31549815498154982</v>
      </c>
      <c r="G185" s="1214">
        <v>1331</v>
      </c>
      <c r="H185" s="1215">
        <f>IFERROR(Table7922268119610210811410[[#This Row],[Persons]]-Table7922268119610210811410[[#This Row],[2011 Census]],"..")</f>
        <v>721</v>
      </c>
      <c r="I185" s="1216">
        <f>IFERROR((Table7922268119610210811410[[#This Row],[Persons]]-Table7922268119610210811410[[#This Row],[2011 Census]])/Table7922268119610210811410[[#This Row],[2011 Census]],"..")</f>
        <v>0.54169797145003762</v>
      </c>
    </row>
    <row r="186" spans="2:9">
      <c r="B186" s="158" t="s">
        <v>151</v>
      </c>
      <c r="C186" s="106">
        <v>522</v>
      </c>
      <c r="D186" s="106">
        <v>567</v>
      </c>
      <c r="E186" s="106">
        <v>1082</v>
      </c>
      <c r="F186" s="226">
        <f>(Table7922268119610210811410[[#This Row],[Persons]]/$C$15)</f>
        <v>0.16635916359163591</v>
      </c>
      <c r="G186" s="227">
        <v>1472</v>
      </c>
      <c r="H186" s="106">
        <f>IFERROR(Table7922268119610210811410[[#This Row],[Persons]]-Table7922268119610210811410[[#This Row],[2011 Census]],"..")</f>
        <v>-390</v>
      </c>
      <c r="I186" s="91">
        <f>IFERROR((Table7922268119610210811410[[#This Row],[Persons]]-Table7922268119610210811410[[#This Row],[2011 Census]])/Table7922268119610210811410[[#This Row],[2011 Census]],"..")</f>
        <v>-0.26494565217391303</v>
      </c>
    </row>
    <row r="187" spans="2:9">
      <c r="B187" s="155" t="s">
        <v>162</v>
      </c>
      <c r="C187" s="103">
        <v>395</v>
      </c>
      <c r="D187" s="103">
        <v>415</v>
      </c>
      <c r="E187" s="103">
        <v>805</v>
      </c>
      <c r="F187" s="224">
        <f>(Table7922268119610210811410[[#This Row],[Persons]]/$C$15)</f>
        <v>0.123769987699877</v>
      </c>
      <c r="G187" s="228">
        <v>672</v>
      </c>
      <c r="H187" s="103">
        <f>IFERROR(Table7922268119610210811410[[#This Row],[Persons]]-Table7922268119610210811410[[#This Row],[2011 Census]],"..")</f>
        <v>133</v>
      </c>
      <c r="I187" s="104">
        <f>IFERROR((Table7922268119610210811410[[#This Row],[Persons]]-Table7922268119610210811410[[#This Row],[2011 Census]])/Table7922268119610210811410[[#This Row],[2011 Census]],"..")</f>
        <v>0.19791666666666666</v>
      </c>
    </row>
    <row r="188" spans="2:9">
      <c r="B188" s="158" t="s">
        <v>150</v>
      </c>
      <c r="C188" s="106">
        <v>164</v>
      </c>
      <c r="D188" s="106">
        <v>131</v>
      </c>
      <c r="E188" s="106">
        <v>293</v>
      </c>
      <c r="F188" s="226">
        <f>(Table7922268119610210811410[[#This Row],[Persons]]/$C$15)</f>
        <v>4.504920049200492E-2</v>
      </c>
      <c r="G188" s="227">
        <v>302</v>
      </c>
      <c r="H188" s="106">
        <f>IFERROR(Table7922268119610210811410[[#This Row],[Persons]]-Table7922268119610210811410[[#This Row],[2011 Census]],"..")</f>
        <v>-9</v>
      </c>
      <c r="I188" s="91">
        <f>IFERROR((Table7922268119610210811410[[#This Row],[Persons]]-Table7922268119610210811410[[#This Row],[2011 Census]])/Table7922268119610210811410[[#This Row],[2011 Census]],"..")</f>
        <v>-2.9801324503311258E-2</v>
      </c>
    </row>
    <row r="189" spans="2:9">
      <c r="B189" s="155" t="s">
        <v>164</v>
      </c>
      <c r="C189" s="103">
        <v>160</v>
      </c>
      <c r="D189" s="103">
        <v>123</v>
      </c>
      <c r="E189" s="103">
        <v>286</v>
      </c>
      <c r="F189" s="224">
        <f>(Table7922268119610210811410[[#This Row],[Persons]]/$C$15)</f>
        <v>4.3972939729397295E-2</v>
      </c>
      <c r="G189" s="228">
        <v>396</v>
      </c>
      <c r="H189" s="103">
        <f>IFERROR(Table7922268119610210811410[[#This Row],[Persons]]-Table7922268119610210811410[[#This Row],[2011 Census]],"..")</f>
        <v>-110</v>
      </c>
      <c r="I189" s="104">
        <f>IFERROR((Table7922268119610210811410[[#This Row],[Persons]]-Table7922268119610210811410[[#This Row],[2011 Census]])/Table7922268119610210811410[[#This Row],[2011 Census]],"..")</f>
        <v>-0.27777777777777779</v>
      </c>
    </row>
    <row r="190" spans="2:9">
      <c r="B190" s="158" t="s">
        <v>153</v>
      </c>
      <c r="C190" s="106">
        <v>47</v>
      </c>
      <c r="D190" s="106">
        <v>41</v>
      </c>
      <c r="E190" s="106">
        <v>87</v>
      </c>
      <c r="F190" s="226">
        <f>(Table7922268119610210811410[[#This Row],[Persons]]/$C$15)</f>
        <v>1.3376383763837638E-2</v>
      </c>
      <c r="G190" s="227">
        <v>94</v>
      </c>
      <c r="H190" s="106">
        <f>IFERROR(Table7922268119610210811410[[#This Row],[Persons]]-Table7922268119610210811410[[#This Row],[2011 Census]],"..")</f>
        <v>-7</v>
      </c>
      <c r="I190" s="91">
        <f>IFERROR((Table7922268119610210811410[[#This Row],[Persons]]-Table7922268119610210811410[[#This Row],[2011 Census]])/Table7922268119610210811410[[#This Row],[2011 Census]],"..")</f>
        <v>-7.4468085106382975E-2</v>
      </c>
    </row>
    <row r="191" spans="2:9">
      <c r="B191" s="155" t="s">
        <v>155</v>
      </c>
      <c r="C191" s="103">
        <v>20</v>
      </c>
      <c r="D191" s="103">
        <v>31</v>
      </c>
      <c r="E191" s="103">
        <v>53</v>
      </c>
      <c r="F191" s="224">
        <f>(Table7922268119610210811410[[#This Row],[Persons]]/$C$15)</f>
        <v>8.1488314883148838E-3</v>
      </c>
      <c r="G191" s="228">
        <v>20</v>
      </c>
      <c r="H191" s="103">
        <f>IFERROR(Table7922268119610210811410[[#This Row],[Persons]]-Table7922268119610210811410[[#This Row],[2011 Census]],"..")</f>
        <v>33</v>
      </c>
      <c r="I191" s="104">
        <f>IFERROR((Table7922268119610210811410[[#This Row],[Persons]]-Table7922268119610210811410[[#This Row],[2011 Census]])/Table7922268119610210811410[[#This Row],[2011 Census]],"..")</f>
        <v>1.65</v>
      </c>
    </row>
    <row r="192" spans="2:9">
      <c r="B192" s="158" t="s">
        <v>154</v>
      </c>
      <c r="C192" s="106">
        <v>21</v>
      </c>
      <c r="D192" s="106">
        <v>20</v>
      </c>
      <c r="E192" s="106">
        <v>39</v>
      </c>
      <c r="F192" s="226">
        <f>(Table7922268119610210811410[[#This Row],[Persons]]/$C$15)</f>
        <v>5.9963099630996313E-3</v>
      </c>
      <c r="G192" s="227">
        <v>52</v>
      </c>
      <c r="H192" s="106">
        <f>IFERROR(Table7922268119610210811410[[#This Row],[Persons]]-Table7922268119610210811410[[#This Row],[2011 Census]],"..")</f>
        <v>-13</v>
      </c>
      <c r="I192" s="91">
        <f>IFERROR((Table7922268119610210811410[[#This Row],[Persons]]-Table7922268119610210811410[[#This Row],[2011 Census]])/Table7922268119610210811410[[#This Row],[2011 Census]],"..")</f>
        <v>-0.25</v>
      </c>
    </row>
    <row r="193" spans="2:9">
      <c r="B193" s="155" t="s">
        <v>152</v>
      </c>
      <c r="C193" s="103">
        <v>24</v>
      </c>
      <c r="D193" s="103">
        <v>14</v>
      </c>
      <c r="E193" s="103">
        <v>30</v>
      </c>
      <c r="F193" s="224">
        <f>(Table7922268119610210811410[[#This Row],[Persons]]/$C$15)</f>
        <v>4.6125461254612546E-3</v>
      </c>
      <c r="G193" s="228">
        <v>19</v>
      </c>
      <c r="H193" s="103">
        <f>IFERROR(Table7922268119610210811410[[#This Row],[Persons]]-Table7922268119610210811410[[#This Row],[2011 Census]],"..")</f>
        <v>11</v>
      </c>
      <c r="I193" s="104">
        <f>IFERROR((Table7922268119610210811410[[#This Row],[Persons]]-Table7922268119610210811410[[#This Row],[2011 Census]])/Table7922268119610210811410[[#This Row],[2011 Census]],"..")</f>
        <v>0.57894736842105265</v>
      </c>
    </row>
    <row r="194" spans="2:9">
      <c r="B194" s="158" t="s">
        <v>157</v>
      </c>
      <c r="C194" s="106">
        <v>13</v>
      </c>
      <c r="D194" s="106">
        <v>16</v>
      </c>
      <c r="E194" s="106">
        <v>25</v>
      </c>
      <c r="F194" s="226">
        <f>(Table7922268119610210811410[[#This Row],[Persons]]/$C$15)</f>
        <v>3.8437884378843788E-3</v>
      </c>
      <c r="G194" s="227">
        <v>42</v>
      </c>
      <c r="H194" s="106">
        <f>IFERROR(Table7922268119610210811410[[#This Row],[Persons]]-Table7922268119610210811410[[#This Row],[2011 Census]],"..")</f>
        <v>-17</v>
      </c>
      <c r="I194" s="91">
        <f>IFERROR((Table7922268119610210811410[[#This Row],[Persons]]-Table7922268119610210811410[[#This Row],[2011 Census]])/Table7922268119610210811410[[#This Row],[2011 Census]],"..")</f>
        <v>-0.40476190476190477</v>
      </c>
    </row>
    <row r="195" spans="2:9">
      <c r="B195" s="155" t="s">
        <v>156</v>
      </c>
      <c r="C195" s="103">
        <v>13</v>
      </c>
      <c r="D195" s="103">
        <v>7</v>
      </c>
      <c r="E195" s="103">
        <v>18</v>
      </c>
      <c r="F195" s="224">
        <f>(Table7922268119610210811410[[#This Row],[Persons]]/$C$15)</f>
        <v>2.7675276752767526E-3</v>
      </c>
      <c r="G195" s="1217" t="s">
        <v>94</v>
      </c>
      <c r="H195" s="103" t="str">
        <f>IFERROR(Table7922268119610210811410[[#This Row],[Persons]]-Table7922268119610210811410[[#This Row],[2011 Census]],"..")</f>
        <v>..</v>
      </c>
      <c r="I195" s="104" t="str">
        <f>IFERROR((Table7922268119610210811410[[#This Row],[Persons]]-Table7922268119610210811410[[#This Row],[2011 Census]])/Table7922268119610210811410[[#This Row],[2011 Census]],"..")</f>
        <v>..</v>
      </c>
    </row>
    <row r="196" spans="2:9">
      <c r="B196" s="158" t="s">
        <v>168</v>
      </c>
      <c r="C196" s="106">
        <v>7</v>
      </c>
      <c r="D196" s="106">
        <v>4</v>
      </c>
      <c r="E196" s="106">
        <v>13</v>
      </c>
      <c r="F196" s="226">
        <f>(Table7922268119610210811410[[#This Row],[Persons]]/$C$15)</f>
        <v>1.9987699876998768E-3</v>
      </c>
      <c r="G196" s="227">
        <v>25</v>
      </c>
      <c r="H196" s="106">
        <f>IFERROR(Table7922268119610210811410[[#This Row],[Persons]]-Table7922268119610210811410[[#This Row],[2011 Census]],"..")</f>
        <v>-12</v>
      </c>
      <c r="I196" s="91">
        <f>IFERROR((Table7922268119610210811410[[#This Row],[Persons]]-Table7922268119610210811410[[#This Row],[2011 Census]])/Table7922268119610210811410[[#This Row],[2011 Census]],"..")</f>
        <v>-0.48</v>
      </c>
    </row>
    <row r="197" spans="2:9">
      <c r="B197" s="155" t="s">
        <v>158</v>
      </c>
      <c r="C197" s="103">
        <v>4</v>
      </c>
      <c r="D197" s="103">
        <v>0</v>
      </c>
      <c r="E197" s="103">
        <v>10</v>
      </c>
      <c r="F197" s="224">
        <f>(Table7922268119610210811410[[#This Row],[Persons]]/$C$15)</f>
        <v>1.5375153751537515E-3</v>
      </c>
      <c r="G197" s="1217" t="s">
        <v>94</v>
      </c>
      <c r="H197" s="103" t="str">
        <f>IFERROR(Table7922268119610210811410[[#This Row],[Persons]]-Table7922268119610210811410[[#This Row],[2011 Census]],"..")</f>
        <v>..</v>
      </c>
      <c r="I197" s="104" t="str">
        <f>IFERROR((Table7922268119610210811410[[#This Row],[Persons]]-Table7922268119610210811410[[#This Row],[2011 Census]])/Table7922268119610210811410[[#This Row],[2011 Census]],"..")</f>
        <v>..</v>
      </c>
    </row>
    <row r="198" spans="2:9">
      <c r="B198" s="158" t="s">
        <v>161</v>
      </c>
      <c r="C198" s="106">
        <v>3</v>
      </c>
      <c r="D198" s="106">
        <v>7</v>
      </c>
      <c r="E198" s="106">
        <v>10</v>
      </c>
      <c r="F198" s="226">
        <f>(Table7922268119610210811410[[#This Row],[Persons]]/$C$15)</f>
        <v>1.5375153751537515E-3</v>
      </c>
      <c r="G198" s="1218" t="s">
        <v>94</v>
      </c>
      <c r="H198" s="106" t="str">
        <f>IFERROR(Table7922268119610210811410[[#This Row],[Persons]]-Table7922268119610210811410[[#This Row],[2011 Census]],"..")</f>
        <v>..</v>
      </c>
      <c r="I198" s="91" t="str">
        <f>IFERROR((Table7922268119610210811410[[#This Row],[Persons]]-Table7922268119610210811410[[#This Row],[2011 Census]])/Table7922268119610210811410[[#This Row],[2011 Census]],"..")</f>
        <v>..</v>
      </c>
    </row>
    <row r="199" spans="2:9">
      <c r="B199" s="158" t="s">
        <v>163</v>
      </c>
      <c r="C199" s="106">
        <v>5</v>
      </c>
      <c r="D199" s="106">
        <v>3</v>
      </c>
      <c r="E199" s="106">
        <v>10</v>
      </c>
      <c r="F199" s="226">
        <f>(Table7922268119610210811410[[#This Row],[Persons]]/$C$15)</f>
        <v>1.5375153751537515E-3</v>
      </c>
      <c r="G199" s="1217" t="s">
        <v>94</v>
      </c>
      <c r="H199" s="106" t="str">
        <f>IFERROR(Table7922268119610210811410[[#This Row],[Persons]]-Table7922268119610210811410[[#This Row],[2011 Census]],"..")</f>
        <v>..</v>
      </c>
      <c r="I199" s="91" t="str">
        <f>IFERROR((Table7922268119610210811410[[#This Row],[Persons]]-Table7922268119610210811410[[#This Row],[2011 Census]])/Table7922268119610210811410[[#This Row],[2011 Census]],"..")</f>
        <v>..</v>
      </c>
    </row>
    <row r="200" spans="2:9">
      <c r="B200" s="158" t="s">
        <v>159</v>
      </c>
      <c r="C200" s="106">
        <v>6</v>
      </c>
      <c r="D200" s="106">
        <v>4</v>
      </c>
      <c r="E200" s="106">
        <v>6</v>
      </c>
      <c r="F200" s="226">
        <f>(Table7922268119610210811410[[#This Row],[Persons]]/$C$15)</f>
        <v>9.225092250922509E-4</v>
      </c>
      <c r="G200" s="1218" t="s">
        <v>94</v>
      </c>
      <c r="H200" s="106" t="str">
        <f>IFERROR(Table7922268119610210811410[[#This Row],[Persons]]-Table7922268119610210811410[[#This Row],[2011 Census]],"..")</f>
        <v>..</v>
      </c>
      <c r="I200" s="91" t="str">
        <f>IFERROR((Table7922268119610210811410[[#This Row],[Persons]]-Table7922268119610210811410[[#This Row],[2011 Census]])/Table7922268119610210811410[[#This Row],[2011 Census]],"..")</f>
        <v>..</v>
      </c>
    </row>
    <row r="201" spans="2:9">
      <c r="B201" s="158"/>
      <c r="C201" s="106"/>
      <c r="D201" s="106"/>
      <c r="E201" s="106"/>
      <c r="F201" s="226"/>
      <c r="G201" s="227" t="s">
        <v>94</v>
      </c>
      <c r="H201" s="106" t="str">
        <f>IFERROR(Table7922268119610210811410[[#This Row],[Persons]]-Table7922268119610210811410[[#This Row],[2011 Census]],"..")</f>
        <v>..</v>
      </c>
      <c r="I201" s="91"/>
    </row>
    <row r="202" spans="2:9">
      <c r="B202" s="158"/>
      <c r="C202" s="106"/>
      <c r="D202" s="106"/>
      <c r="E202" s="106"/>
      <c r="F202" s="226"/>
      <c r="G202" s="227" t="s">
        <v>94</v>
      </c>
      <c r="H202" s="106" t="str">
        <f>IFERROR(Table7922268119610210811410[[#This Row],[Persons]]-Table7922268119610210811410[[#This Row],[2011 Census]],"..")</f>
        <v>..</v>
      </c>
      <c r="I202" s="91"/>
    </row>
    <row r="203" spans="2:9">
      <c r="B203" s="158"/>
      <c r="C203" s="106"/>
      <c r="D203" s="106"/>
      <c r="E203" s="106"/>
      <c r="F203" s="226"/>
      <c r="G203" s="227" t="s">
        <v>94</v>
      </c>
      <c r="H203" s="106" t="str">
        <f>IFERROR(Table7922268119610210811410[[#This Row],[Persons]]-Table7922268119610210811410[[#This Row],[2011 Census]],"..")</f>
        <v>..</v>
      </c>
      <c r="I203" s="91"/>
    </row>
    <row r="204" spans="2:9">
      <c r="B204" s="158"/>
      <c r="C204" s="106"/>
      <c r="D204" s="106"/>
      <c r="E204" s="106"/>
      <c r="F204" s="226"/>
      <c r="G204" s="227" t="s">
        <v>94</v>
      </c>
      <c r="H204" s="106" t="str">
        <f>IFERROR(Table7922268119610210811410[[#This Row],[Persons]]-Table7922268119610210811410[[#This Row],[2011 Census]],"..")</f>
        <v>..</v>
      </c>
      <c r="I204" s="91"/>
    </row>
    <row r="205" spans="2:9">
      <c r="B205" s="155" t="s">
        <v>71</v>
      </c>
      <c r="C205" s="103">
        <v>43</v>
      </c>
      <c r="D205" s="103">
        <v>28</v>
      </c>
      <c r="E205" s="103">
        <v>65</v>
      </c>
      <c r="F205" s="224">
        <f>(Table7922268119610210811410[[#This Row],[Persons]]/$C$15)</f>
        <v>9.9938499384993849E-3</v>
      </c>
      <c r="G205" s="228">
        <v>70</v>
      </c>
      <c r="H205" s="103">
        <f>IFERROR(Table7922268119610210811410[[#This Row],[Persons]]-Table7922268119610210811410[[#This Row],[2011 Census]],"..")</f>
        <v>-5</v>
      </c>
      <c r="I205" s="104">
        <f>IFERROR((Table7922268119610210811410[[#This Row],[Persons]]-Table7922268119610210811410[[#This Row],[2011 Census]])/Table7922268119610210811410[[#This Row],[2011 Census]],"..")</f>
        <v>-7.1428571428571425E-2</v>
      </c>
    </row>
    <row r="206" spans="2:9">
      <c r="B206" s="158" t="s">
        <v>58</v>
      </c>
      <c r="C206" s="106">
        <v>795</v>
      </c>
      <c r="D206" s="106">
        <v>814</v>
      </c>
      <c r="E206" s="106">
        <v>1610</v>
      </c>
      <c r="F206" s="226">
        <f>(Table7922268119610210811410[[#This Row],[Persons]]/$C$15)</f>
        <v>0.247539975399754</v>
      </c>
      <c r="G206" s="1219">
        <v>787</v>
      </c>
      <c r="H206" s="1220">
        <f>IFERROR(Table7922268119610210811410[[#This Row],[Persons]]-Table7922268119610210811410[[#This Row],[2011 Census]],"..")</f>
        <v>823</v>
      </c>
      <c r="I206" s="1221">
        <f>IFERROR((Table7922268119610210811410[[#This Row],[Persons]]-Table7922268119610210811410[[#This Row],[2011 Census]])/Table7922268119610210811410[[#This Row],[2011 Census]],"..")</f>
        <v>1.04574332909784</v>
      </c>
    </row>
    <row r="207" spans="2:9" ht="15.75">
      <c r="B207" s="115" t="s">
        <v>72</v>
      </c>
      <c r="C207" s="229" t="s">
        <v>317</v>
      </c>
      <c r="D207" s="229" t="s">
        <v>318</v>
      </c>
      <c r="E207" s="116">
        <f>C15</f>
        <v>6504</v>
      </c>
      <c r="F207" s="230" t="s">
        <v>22</v>
      </c>
      <c r="G207" s="116">
        <f>E15</f>
        <v>6121</v>
      </c>
      <c r="H207" s="229">
        <f>SUM(Table7922268119610210811410[[#Totals],[Persons]]-Table7922268119610210811410[[#Totals],[2011 Census]])</f>
        <v>383</v>
      </c>
      <c r="I207" s="1212">
        <f>SUM((Table7922268119610210811410[[#Totals],[Persons]]-Table7922268119610210811410[[#Totals],[2011 Census]])/Table7922268119610210811410[[#Totals],[2011 Census]])</f>
        <v>6.2571475249142292E-2</v>
      </c>
    </row>
    <row r="208" spans="2:9" ht="15.75">
      <c r="B208" s="114"/>
      <c r="C208" s="114"/>
      <c r="D208" s="114"/>
      <c r="E208" s="114"/>
      <c r="F208" s="114"/>
      <c r="G208" s="114"/>
      <c r="H208" s="114"/>
      <c r="I208" s="114"/>
    </row>
    <row r="209" spans="2:10" ht="23.25">
      <c r="B209" s="127" t="s">
        <v>741</v>
      </c>
    </row>
    <row r="210" spans="2:10" ht="15.75">
      <c r="B210" s="150" t="s">
        <v>827</v>
      </c>
    </row>
    <row r="211" spans="2:10" ht="25.5">
      <c r="B211" s="173" t="s">
        <v>64</v>
      </c>
      <c r="C211" s="222" t="s">
        <v>66</v>
      </c>
      <c r="D211" s="222" t="s">
        <v>67</v>
      </c>
      <c r="E211" s="222" t="s">
        <v>58</v>
      </c>
      <c r="F211" s="233" t="s">
        <v>68</v>
      </c>
      <c r="G211" s="233" t="s">
        <v>24</v>
      </c>
      <c r="H211" s="233" t="s">
        <v>25</v>
      </c>
      <c r="I211" s="233" t="s">
        <v>69</v>
      </c>
      <c r="J211" s="233" t="s">
        <v>27</v>
      </c>
    </row>
    <row r="212" spans="2:10">
      <c r="B212" s="155" t="s">
        <v>149</v>
      </c>
      <c r="C212" s="103">
        <v>1947</v>
      </c>
      <c r="D212" s="103">
        <v>74</v>
      </c>
      <c r="E212" s="103">
        <v>25</v>
      </c>
      <c r="F212" s="234">
        <v>597</v>
      </c>
      <c r="G212" s="235">
        <v>388</v>
      </c>
      <c r="H212" s="235">
        <v>648</v>
      </c>
      <c r="I212" s="236">
        <v>343</v>
      </c>
      <c r="J212" s="235">
        <v>77</v>
      </c>
    </row>
    <row r="213" spans="2:10">
      <c r="B213" s="158" t="s">
        <v>151</v>
      </c>
      <c r="C213" s="106">
        <v>1060</v>
      </c>
      <c r="D213" s="106">
        <v>19</v>
      </c>
      <c r="E213" s="106">
        <v>12</v>
      </c>
      <c r="F213" s="237">
        <v>291</v>
      </c>
      <c r="G213" s="238">
        <v>175</v>
      </c>
      <c r="H213" s="238">
        <v>330</v>
      </c>
      <c r="I213" s="239">
        <v>219</v>
      </c>
      <c r="J213" s="238">
        <v>69</v>
      </c>
    </row>
    <row r="214" spans="2:10">
      <c r="B214" s="155" t="s">
        <v>162</v>
      </c>
      <c r="C214" s="103">
        <v>804</v>
      </c>
      <c r="D214" s="103">
        <v>4</v>
      </c>
      <c r="E214" s="103">
        <v>3</v>
      </c>
      <c r="F214" s="240">
        <v>265</v>
      </c>
      <c r="G214" s="241">
        <v>157</v>
      </c>
      <c r="H214" s="241">
        <v>226</v>
      </c>
      <c r="I214" s="242">
        <v>137</v>
      </c>
      <c r="J214" s="241">
        <v>24</v>
      </c>
    </row>
    <row r="215" spans="2:10">
      <c r="B215" s="158" t="s">
        <v>150</v>
      </c>
      <c r="C215" s="106">
        <v>244</v>
      </c>
      <c r="D215" s="106">
        <v>39</v>
      </c>
      <c r="E215" s="106">
        <v>8</v>
      </c>
      <c r="F215" s="237">
        <v>49</v>
      </c>
      <c r="G215" s="238">
        <v>36</v>
      </c>
      <c r="H215" s="238">
        <v>104</v>
      </c>
      <c r="I215" s="239">
        <v>78</v>
      </c>
      <c r="J215" s="238">
        <v>25</v>
      </c>
    </row>
    <row r="216" spans="2:10">
      <c r="B216" s="155" t="s">
        <v>164</v>
      </c>
      <c r="C216" s="103">
        <v>284</v>
      </c>
      <c r="D216" s="103">
        <v>0</v>
      </c>
      <c r="E216" s="103">
        <v>0</v>
      </c>
      <c r="F216" s="240">
        <v>85</v>
      </c>
      <c r="G216" s="241">
        <v>39</v>
      </c>
      <c r="H216" s="241">
        <v>92</v>
      </c>
      <c r="I216" s="242">
        <v>50</v>
      </c>
      <c r="J216" s="241">
        <v>11</v>
      </c>
    </row>
    <row r="217" spans="2:10">
      <c r="B217" s="158" t="s">
        <v>153</v>
      </c>
      <c r="C217" s="106">
        <v>74</v>
      </c>
      <c r="D217" s="106">
        <v>9</v>
      </c>
      <c r="E217" s="106">
        <v>3</v>
      </c>
      <c r="F217" s="237">
        <v>13</v>
      </c>
      <c r="G217" s="238">
        <v>14</v>
      </c>
      <c r="H217" s="238">
        <v>14</v>
      </c>
      <c r="I217" s="239">
        <v>40</v>
      </c>
      <c r="J217" s="238">
        <v>11</v>
      </c>
    </row>
    <row r="218" spans="2:10">
      <c r="B218" s="155" t="s">
        <v>155</v>
      </c>
      <c r="C218" s="103">
        <v>43</v>
      </c>
      <c r="D218" s="103">
        <v>10</v>
      </c>
      <c r="E218" s="103">
        <v>0</v>
      </c>
      <c r="F218" s="240">
        <v>10</v>
      </c>
      <c r="G218" s="241">
        <v>7</v>
      </c>
      <c r="H218" s="241">
        <v>13</v>
      </c>
      <c r="I218" s="242">
        <v>13</v>
      </c>
      <c r="J218" s="241">
        <v>4</v>
      </c>
    </row>
    <row r="219" spans="2:10">
      <c r="B219" s="158" t="s">
        <v>154</v>
      </c>
      <c r="C219" s="106">
        <v>33</v>
      </c>
      <c r="D219" s="106">
        <v>0</v>
      </c>
      <c r="E219" s="106">
        <v>0</v>
      </c>
      <c r="F219" s="237">
        <v>12</v>
      </c>
      <c r="G219" s="238">
        <v>8</v>
      </c>
      <c r="H219" s="238">
        <v>11</v>
      </c>
      <c r="I219" s="239">
        <v>15</v>
      </c>
      <c r="J219" s="238">
        <v>0</v>
      </c>
    </row>
    <row r="220" spans="2:10">
      <c r="B220" s="155" t="s">
        <v>152</v>
      </c>
      <c r="C220" s="103">
        <v>25</v>
      </c>
      <c r="D220" s="103">
        <v>5</v>
      </c>
      <c r="E220" s="103">
        <v>4</v>
      </c>
      <c r="F220" s="240">
        <v>0</v>
      </c>
      <c r="G220" s="241">
        <v>9</v>
      </c>
      <c r="H220" s="241">
        <v>7</v>
      </c>
      <c r="I220" s="242">
        <v>11</v>
      </c>
      <c r="J220" s="241">
        <v>3</v>
      </c>
    </row>
    <row r="221" spans="2:10">
      <c r="B221" s="158" t="s">
        <v>157</v>
      </c>
      <c r="C221" s="106">
        <v>23</v>
      </c>
      <c r="D221" s="106">
        <v>6</v>
      </c>
      <c r="E221" s="106">
        <v>0</v>
      </c>
      <c r="F221" s="237">
        <v>0</v>
      </c>
      <c r="G221" s="238">
        <v>0</v>
      </c>
      <c r="H221" s="238">
        <v>4</v>
      </c>
      <c r="I221" s="239">
        <v>11</v>
      </c>
      <c r="J221" s="238">
        <v>14</v>
      </c>
    </row>
    <row r="222" spans="2:10">
      <c r="B222" s="155" t="s">
        <v>156</v>
      </c>
      <c r="C222" s="103">
        <v>12</v>
      </c>
      <c r="D222" s="103">
        <v>4</v>
      </c>
      <c r="E222" s="103">
        <v>0</v>
      </c>
      <c r="F222" s="240">
        <v>0</v>
      </c>
      <c r="G222" s="241">
        <v>4</v>
      </c>
      <c r="H222" s="241">
        <v>6</v>
      </c>
      <c r="I222" s="242">
        <v>6</v>
      </c>
      <c r="J222" s="241">
        <v>0</v>
      </c>
    </row>
    <row r="223" spans="2:10">
      <c r="B223" s="158" t="s">
        <v>168</v>
      </c>
      <c r="C223" s="106">
        <v>10</v>
      </c>
      <c r="D223" s="106">
        <v>0</v>
      </c>
      <c r="E223" s="106">
        <v>0</v>
      </c>
      <c r="F223" s="237">
        <v>0</v>
      </c>
      <c r="G223" s="238">
        <v>0</v>
      </c>
      <c r="H223" s="238">
        <v>4</v>
      </c>
      <c r="I223" s="239">
        <v>0</v>
      </c>
      <c r="J223" s="238">
        <v>3</v>
      </c>
    </row>
    <row r="224" spans="2:10">
      <c r="B224" s="155" t="s">
        <v>163</v>
      </c>
      <c r="C224" s="103">
        <v>6</v>
      </c>
      <c r="D224" s="103">
        <v>4</v>
      </c>
      <c r="E224" s="103">
        <v>0</v>
      </c>
      <c r="F224" s="240">
        <v>0</v>
      </c>
      <c r="G224" s="241">
        <v>0</v>
      </c>
      <c r="H224" s="241">
        <v>3</v>
      </c>
      <c r="I224" s="242">
        <v>6</v>
      </c>
      <c r="J224" s="241">
        <v>0</v>
      </c>
    </row>
    <row r="225" spans="2:11">
      <c r="B225" s="158" t="s">
        <v>158</v>
      </c>
      <c r="C225" s="106">
        <v>0</v>
      </c>
      <c r="D225" s="106">
        <v>10</v>
      </c>
      <c r="E225" s="106">
        <v>0</v>
      </c>
      <c r="F225" s="237">
        <v>0</v>
      </c>
      <c r="G225" s="238">
        <v>0</v>
      </c>
      <c r="H225" s="238">
        <v>4</v>
      </c>
      <c r="I225" s="239">
        <v>0</v>
      </c>
      <c r="J225" s="238">
        <v>0</v>
      </c>
    </row>
    <row r="226" spans="2:11">
      <c r="B226" s="155" t="s">
        <v>161</v>
      </c>
      <c r="C226" s="103">
        <v>4</v>
      </c>
      <c r="D226" s="103">
        <v>9</v>
      </c>
      <c r="E226" s="103">
        <v>0</v>
      </c>
      <c r="F226" s="240">
        <v>0</v>
      </c>
      <c r="G226" s="241">
        <v>0</v>
      </c>
      <c r="H226" s="241">
        <v>4</v>
      </c>
      <c r="I226" s="242">
        <v>0</v>
      </c>
      <c r="J226" s="241">
        <v>0</v>
      </c>
    </row>
    <row r="227" spans="2:11">
      <c r="B227" s="158" t="s">
        <v>159</v>
      </c>
      <c r="C227" s="106">
        <v>0</v>
      </c>
      <c r="D227" s="106">
        <v>0</v>
      </c>
      <c r="E227" s="106">
        <v>0</v>
      </c>
      <c r="F227" s="237">
        <v>0</v>
      </c>
      <c r="G227" s="238">
        <v>0</v>
      </c>
      <c r="H227" s="238">
        <v>0</v>
      </c>
      <c r="I227" s="239">
        <v>4</v>
      </c>
      <c r="J227" s="238">
        <v>0</v>
      </c>
    </row>
    <row r="228" spans="2:11">
      <c r="B228" s="155" t="s">
        <v>166</v>
      </c>
      <c r="C228" s="103">
        <v>0</v>
      </c>
      <c r="D228" s="103">
        <v>0</v>
      </c>
      <c r="E228" s="103">
        <v>0</v>
      </c>
      <c r="F228" s="240">
        <v>0</v>
      </c>
      <c r="G228" s="241">
        <v>0</v>
      </c>
      <c r="H228" s="241">
        <v>0</v>
      </c>
      <c r="I228" s="242">
        <v>0</v>
      </c>
      <c r="J228" s="241">
        <v>0</v>
      </c>
    </row>
    <row r="229" spans="2:11">
      <c r="B229" s="158" t="s">
        <v>167</v>
      </c>
      <c r="C229" s="106">
        <v>0</v>
      </c>
      <c r="D229" s="106">
        <v>0</v>
      </c>
      <c r="E229" s="106">
        <v>0</v>
      </c>
      <c r="F229" s="237">
        <v>0</v>
      </c>
      <c r="G229" s="238">
        <v>0</v>
      </c>
      <c r="H229" s="238">
        <v>0</v>
      </c>
      <c r="I229" s="239">
        <v>0</v>
      </c>
      <c r="J229" s="238">
        <v>0</v>
      </c>
    </row>
    <row r="230" spans="2:11">
      <c r="B230" s="155" t="s">
        <v>160</v>
      </c>
      <c r="C230" s="103">
        <v>0</v>
      </c>
      <c r="D230" s="103">
        <v>0</v>
      </c>
      <c r="E230" s="103">
        <v>0</v>
      </c>
      <c r="F230" s="240">
        <v>0</v>
      </c>
      <c r="G230" s="241">
        <v>0</v>
      </c>
      <c r="H230" s="241">
        <v>0</v>
      </c>
      <c r="I230" s="242">
        <v>0</v>
      </c>
      <c r="J230" s="241">
        <v>0</v>
      </c>
    </row>
    <row r="231" spans="2:11">
      <c r="B231" s="158" t="s">
        <v>165</v>
      </c>
      <c r="C231" s="106">
        <v>0</v>
      </c>
      <c r="D231" s="106">
        <v>0</v>
      </c>
      <c r="E231" s="106">
        <v>0</v>
      </c>
      <c r="F231" s="237">
        <v>0</v>
      </c>
      <c r="G231" s="238">
        <v>0</v>
      </c>
      <c r="H231" s="238">
        <v>0</v>
      </c>
      <c r="I231" s="239">
        <v>0</v>
      </c>
      <c r="J231" s="238">
        <v>0</v>
      </c>
    </row>
    <row r="232" spans="2:11">
      <c r="B232" s="158" t="s">
        <v>71</v>
      </c>
      <c r="C232" s="106">
        <v>59</v>
      </c>
      <c r="D232" s="106">
        <v>6</v>
      </c>
      <c r="E232" s="106">
        <v>0</v>
      </c>
      <c r="F232" s="237">
        <v>18</v>
      </c>
      <c r="G232" s="238">
        <v>10</v>
      </c>
      <c r="H232" s="238">
        <v>11</v>
      </c>
      <c r="I232" s="239">
        <v>23</v>
      </c>
      <c r="J232" s="238">
        <v>8</v>
      </c>
    </row>
    <row r="233" spans="2:11">
      <c r="B233" s="158" t="s">
        <v>58</v>
      </c>
      <c r="C233" s="106">
        <v>1262</v>
      </c>
      <c r="D233" s="106">
        <v>9</v>
      </c>
      <c r="E233" s="106">
        <v>340</v>
      </c>
      <c r="F233" s="237">
        <v>536</v>
      </c>
      <c r="G233" s="238">
        <v>284</v>
      </c>
      <c r="H233" s="238">
        <v>424</v>
      </c>
      <c r="I233" s="239">
        <v>295</v>
      </c>
      <c r="J233" s="238">
        <v>59</v>
      </c>
    </row>
    <row r="234" spans="2:11" ht="15.75">
      <c r="B234" s="115" t="s">
        <v>72</v>
      </c>
      <c r="C234" s="116">
        <f>C16</f>
        <v>5892</v>
      </c>
      <c r="D234" s="116">
        <f>C17</f>
        <v>205</v>
      </c>
      <c r="E234" s="116">
        <f>C18</f>
        <v>407</v>
      </c>
      <c r="F234" s="116" t="s">
        <v>266</v>
      </c>
      <c r="G234" s="116" t="s">
        <v>267</v>
      </c>
      <c r="H234" s="116" t="s">
        <v>268</v>
      </c>
      <c r="I234" s="116" t="s">
        <v>269</v>
      </c>
      <c r="J234" s="116" t="s">
        <v>270</v>
      </c>
    </row>
    <row r="235" spans="2:11">
      <c r="J235" s="180"/>
    </row>
    <row r="237" spans="2:11" ht="15.75">
      <c r="K237" s="285" t="s">
        <v>642</v>
      </c>
    </row>
    <row r="238" spans="2:11" ht="15.75">
      <c r="B238" s="499" t="s">
        <v>857</v>
      </c>
      <c r="C238" s="500"/>
      <c r="D238" s="500"/>
      <c r="E238" s="500"/>
      <c r="F238" s="500"/>
      <c r="G238" s="500"/>
      <c r="H238" s="500"/>
      <c r="I238" s="500"/>
      <c r="J238" s="501"/>
    </row>
    <row r="239" spans="2:11" ht="15.75">
      <c r="B239" s="502" t="s">
        <v>424</v>
      </c>
      <c r="C239" s="503"/>
      <c r="D239" s="503"/>
      <c r="E239" s="503"/>
      <c r="F239" s="503"/>
      <c r="G239" s="503"/>
      <c r="H239" s="503"/>
      <c r="I239" s="503"/>
      <c r="J239" s="504"/>
    </row>
    <row r="240" spans="2:11" ht="15.75">
      <c r="B240" s="505" t="s">
        <v>824</v>
      </c>
      <c r="C240" s="506"/>
      <c r="D240" s="506"/>
      <c r="E240" s="506"/>
      <c r="F240" s="506"/>
      <c r="G240" s="506"/>
      <c r="H240" s="506"/>
      <c r="I240" s="506"/>
      <c r="J240" s="507"/>
    </row>
  </sheetData>
  <sheetProtection algorithmName="SHA-512" hashValue="rnUl/Y5ThYTWcpGF/b7y7QvTL23i/Rb4Qercjm0gIJDYeTiWp9UGw1lXVdp0SpujIG4QODpi6qqC9k5s4PJWrg==" saltValue="nQRo+sRUp0Hcuzt29UWs8g==" spinCount="100000" sheet="1" objects="1" scenarios="1"/>
  <mergeCells count="2">
    <mergeCell ref="C169:F169"/>
    <mergeCell ref="J1:K1"/>
  </mergeCells>
  <hyperlinks>
    <hyperlink ref="J1:K1" location="'Index '!A1" display="Back to Index"/>
    <hyperlink ref="K237" location="'3.13 Roper Gulf'!K1" display="Back to top"/>
  </hyperlinks>
  <pageMargins left="0.35433070866141736" right="3.937007874015748E-2" top="0.51181102362204722" bottom="0.35433070866141736" header="0.11811023622047245" footer="0.11811023622047245"/>
  <pageSetup paperSize="9" scale="56" fitToHeight="10" orientation="portrait" horizontalDpi="300" verticalDpi="300" r:id="rId1"/>
  <headerFooter differentFirst="1" alignWithMargins="0">
    <oddHeader>&amp;L&amp;"Helvetica Bold,Bold"&amp;18&amp;K000000X LGA (Continued)</oddHeader>
  </headerFooter>
  <drawing r:id="rId2"/>
  <tableParts count="6">
    <tablePart r:id="rId3"/>
    <tablePart r:id="rId4"/>
    <tablePart r:id="rId5"/>
    <tablePart r:id="rId6"/>
    <tablePart r:id="rId7"/>
    <tablePart r:id="rId8"/>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239"/>
  <sheetViews>
    <sheetView showGridLines="0" zoomScaleNormal="100" zoomScaleSheetLayoutView="120" zoomScalePageLayoutView="75" workbookViewId="0"/>
  </sheetViews>
  <sheetFormatPr defaultColWidth="15.625" defaultRowHeight="12.75"/>
  <cols>
    <col min="1" max="1" width="5.875" style="149" customWidth="1"/>
    <col min="2" max="2" width="40.875" style="149" customWidth="1"/>
    <col min="3" max="8" width="10.875" style="149" customWidth="1"/>
    <col min="9" max="9" width="13.5" style="149" customWidth="1"/>
    <col min="10" max="10" width="12.125" style="149" customWidth="1"/>
    <col min="11" max="11" width="11.625" style="149" customWidth="1"/>
    <col min="12" max="14" width="15.625" style="149" customWidth="1"/>
    <col min="15" max="18" width="15.625" style="149"/>
    <col min="19" max="28" width="15.625" style="149" customWidth="1"/>
    <col min="29" max="16384" width="15.625" style="149"/>
  </cols>
  <sheetData>
    <row r="1" spans="2:11" ht="15.75">
      <c r="B1" s="122"/>
      <c r="C1" s="122"/>
      <c r="D1" s="122"/>
      <c r="E1" s="122"/>
      <c r="J1" s="1229" t="s">
        <v>359</v>
      </c>
      <c r="K1" s="1229"/>
    </row>
    <row r="2" spans="2:11" ht="30">
      <c r="B2" s="119" t="s">
        <v>913</v>
      </c>
      <c r="C2" s="120"/>
      <c r="D2" s="120"/>
      <c r="E2" s="120"/>
      <c r="F2" s="120"/>
      <c r="G2" s="650"/>
      <c r="H2" s="650"/>
      <c r="I2" s="650"/>
      <c r="J2" s="650"/>
      <c r="K2" s="650"/>
    </row>
    <row r="3" spans="2:11">
      <c r="B3" s="122"/>
      <c r="C3" s="122"/>
      <c r="D3" s="122"/>
      <c r="E3" s="122"/>
      <c r="F3" s="122"/>
    </row>
    <row r="4" spans="2:11">
      <c r="B4" s="122"/>
      <c r="C4" s="122"/>
      <c r="D4" s="122"/>
      <c r="E4" s="122"/>
      <c r="F4" s="122"/>
    </row>
    <row r="5" spans="2:11">
      <c r="B5" s="123"/>
      <c r="C5" s="123"/>
      <c r="D5" s="123"/>
      <c r="E5" s="122"/>
      <c r="F5" s="122"/>
    </row>
    <row r="6" spans="2:11" ht="15.75">
      <c r="B6" s="124" t="s">
        <v>0</v>
      </c>
      <c r="C6" s="53" t="s">
        <v>1</v>
      </c>
      <c r="D6" s="123"/>
      <c r="E6" s="122"/>
      <c r="F6" s="122"/>
    </row>
    <row r="7" spans="2:11" ht="15.75">
      <c r="B7" s="126" t="s">
        <v>2</v>
      </c>
      <c r="C7" s="53">
        <f>D16</f>
        <v>0.94698205546492664</v>
      </c>
      <c r="D7" s="123"/>
      <c r="E7" s="122"/>
      <c r="F7" s="122"/>
    </row>
    <row r="8" spans="2:11" ht="15.75">
      <c r="B8" s="126" t="s">
        <v>3</v>
      </c>
      <c r="C8" s="53">
        <f>D18</f>
        <v>2.6508972267536703E-2</v>
      </c>
      <c r="D8" s="123"/>
      <c r="E8" s="122"/>
      <c r="F8" s="122"/>
    </row>
    <row r="9" spans="2:11" ht="15.75">
      <c r="B9" s="126" t="s">
        <v>4</v>
      </c>
      <c r="C9" s="53">
        <f>D19</f>
        <v>9.3800978792822187E-3</v>
      </c>
      <c r="D9" s="123"/>
      <c r="E9" s="122"/>
      <c r="F9" s="122"/>
    </row>
    <row r="10" spans="2:11" ht="15.75">
      <c r="B10" s="126" t="s">
        <v>5</v>
      </c>
      <c r="C10" s="53">
        <f>D20</f>
        <v>1.9575856443719411E-2</v>
      </c>
      <c r="D10" s="123"/>
      <c r="E10" s="122"/>
      <c r="F10" s="122"/>
    </row>
    <row r="11" spans="2:11" ht="15.75">
      <c r="B11" s="126"/>
      <c r="C11" s="53"/>
      <c r="D11" s="123"/>
      <c r="E11" s="122"/>
      <c r="F11" s="122"/>
    </row>
    <row r="12" spans="2:11" ht="23.25">
      <c r="B12" s="127" t="s">
        <v>763</v>
      </c>
    </row>
    <row r="14" spans="2:11" s="128" customFormat="1" ht="25.5">
      <c r="B14" s="252" t="s">
        <v>0</v>
      </c>
      <c r="C14" s="233" t="s">
        <v>6</v>
      </c>
      <c r="D14" s="233" t="s">
        <v>1</v>
      </c>
      <c r="E14" s="233" t="s">
        <v>7</v>
      </c>
      <c r="F14" s="233" t="s">
        <v>65</v>
      </c>
      <c r="G14" s="233" t="s">
        <v>8</v>
      </c>
    </row>
    <row r="15" spans="2:11" s="329" customFormat="1">
      <c r="B15" s="262" t="s">
        <v>9</v>
      </c>
      <c r="C15" s="55">
        <v>2452</v>
      </c>
      <c r="D15" s="54">
        <f t="shared" ref="D15:D25" si="0">(C15/$C$15)</f>
        <v>1</v>
      </c>
      <c r="E15" s="55">
        <v>2578</v>
      </c>
      <c r="F15" s="55">
        <f>SUM(Table4791113157212579399[[#This Row],[Persons]]-Table4791113157212579399[[#This Row],[2011 Census]])</f>
        <v>-126</v>
      </c>
      <c r="G15" s="54">
        <f>IFERROR(Table4791113157212579399[[#This Row],[Change 2011-2016]]/Table4791113157212579399[[#This Row],[2011 Census]],"..")</f>
        <v>-4.8875096974398756E-2</v>
      </c>
    </row>
    <row r="16" spans="2:11" s="329" customFormat="1">
      <c r="B16" s="262" t="s">
        <v>2</v>
      </c>
      <c r="C16" s="55">
        <v>2322</v>
      </c>
      <c r="D16" s="54">
        <f t="shared" si="0"/>
        <v>0.94698205546492664</v>
      </c>
      <c r="E16" s="55">
        <v>2552</v>
      </c>
      <c r="F16" s="55">
        <f>SUM(Table4791113157212579399[[#This Row],[Persons]]-Table4791113157212579399[[#This Row],[2011 Census]])</f>
        <v>-230</v>
      </c>
      <c r="G16" s="54">
        <f>IFERROR(Table4791113157212579399[[#This Row],[Change 2011-2016]]/Table4791113157212579399[[#This Row],[2011 Census]],"..")</f>
        <v>-9.0125391849529779E-2</v>
      </c>
    </row>
    <row r="17" spans="2:10" s="329" customFormat="1">
      <c r="B17" s="262" t="s">
        <v>362</v>
      </c>
      <c r="C17" s="55">
        <v>70</v>
      </c>
      <c r="D17" s="54">
        <f t="shared" si="0"/>
        <v>2.8548123980424143E-2</v>
      </c>
      <c r="E17" s="512">
        <v>4</v>
      </c>
      <c r="F17" s="55">
        <f>SUM(Table4791113157212579399[[#This Row],[Persons]]-Table4791113157212579399[[#This Row],[2011 Census]])</f>
        <v>66</v>
      </c>
      <c r="G17" s="54">
        <f>IFERROR(Table4791113157212579399[[#This Row],[Change 2011-2016]]/Table4791113157212579399[[#This Row],[2011 Census]],"..")</f>
        <v>16.5</v>
      </c>
    </row>
    <row r="18" spans="2:10" s="329" customFormat="1">
      <c r="B18" s="262" t="s">
        <v>3</v>
      </c>
      <c r="C18" s="55">
        <v>65</v>
      </c>
      <c r="D18" s="54">
        <f t="shared" si="0"/>
        <v>2.6508972267536703E-2</v>
      </c>
      <c r="E18" s="512">
        <v>26</v>
      </c>
      <c r="F18" s="55">
        <f>SUM(Table4791113157212579399[[#This Row],[Persons]]-Table4791113157212579399[[#This Row],[2011 Census]])</f>
        <v>39</v>
      </c>
      <c r="G18" s="54">
        <f>IFERROR(Table4791113157212579399[[#This Row],[Change 2011-2016]]/Table4791113157212579399[[#This Row],[2011 Census]],"..")</f>
        <v>1.5</v>
      </c>
    </row>
    <row r="19" spans="2:10" s="329" customFormat="1">
      <c r="B19" s="262" t="s">
        <v>4</v>
      </c>
      <c r="C19" s="55">
        <v>23</v>
      </c>
      <c r="D19" s="54">
        <f t="shared" si="0"/>
        <v>9.3800978792822187E-3</v>
      </c>
      <c r="E19" s="512">
        <v>0</v>
      </c>
      <c r="F19" s="55">
        <f>SUM(Table4791113157212579399[[#This Row],[Persons]]-Table4791113157212579399[[#This Row],[2011 Census]])</f>
        <v>23</v>
      </c>
      <c r="G19" s="54" t="str">
        <f>IFERROR(Table4791113157212579399[[#This Row],[Change 2011-2016]]/Table4791113157212579399[[#This Row],[2011 Census]],"..")</f>
        <v>..</v>
      </c>
    </row>
    <row r="20" spans="2:10" s="329" customFormat="1">
      <c r="B20" s="262" t="s">
        <v>5</v>
      </c>
      <c r="C20" s="55">
        <v>48</v>
      </c>
      <c r="D20" s="54">
        <f t="shared" si="0"/>
        <v>1.9575856443719411E-2</v>
      </c>
      <c r="E20" s="512">
        <v>3</v>
      </c>
      <c r="F20" s="55">
        <f>SUM(Table4791113157212579399[[#This Row],[Persons]]-Table4791113157212579399[[#This Row],[2011 Census]])</f>
        <v>45</v>
      </c>
      <c r="G20" s="54">
        <f>IFERROR(Table4791113157212579399[[#This Row],[Change 2011-2016]]/Table4791113157212579399[[#This Row],[2011 Census]],"..")</f>
        <v>15</v>
      </c>
    </row>
    <row r="21" spans="2:10" s="329" customFormat="1">
      <c r="B21" s="262" t="s">
        <v>11</v>
      </c>
      <c r="C21" s="55">
        <v>32</v>
      </c>
      <c r="D21" s="54">
        <f t="shared" si="0"/>
        <v>1.3050570962479609E-2</v>
      </c>
      <c r="E21" s="512">
        <v>3</v>
      </c>
      <c r="F21" s="55">
        <f>SUM(Table4791113157212579399[[#This Row],[Persons]]-Table4791113157212579399[[#This Row],[2011 Census]])</f>
        <v>29</v>
      </c>
      <c r="G21" s="54">
        <f>IFERROR(Table4791113157212579399[[#This Row],[Change 2011-2016]]/Table4791113157212579399[[#This Row],[2011 Census]],"..")</f>
        <v>9.6666666666666661</v>
      </c>
    </row>
    <row r="22" spans="2:10" s="329" customFormat="1">
      <c r="B22" s="262" t="s">
        <v>12</v>
      </c>
      <c r="C22" s="55">
        <v>2180</v>
      </c>
      <c r="D22" s="54">
        <f t="shared" si="0"/>
        <v>0.88907014681892338</v>
      </c>
      <c r="E22" s="512">
        <v>2267</v>
      </c>
      <c r="F22" s="55">
        <f>SUM(Table4791113157212579399[[#This Row],[Persons]]-Table4791113157212579399[[#This Row],[2011 Census]])</f>
        <v>-87</v>
      </c>
      <c r="G22" s="54">
        <f>IFERROR(Table4791113157212579399[[#This Row],[Change 2011-2016]]/Table4791113157212579399[[#This Row],[2011 Census]],"..")</f>
        <v>-3.8376709307454786E-2</v>
      </c>
    </row>
    <row r="23" spans="2:10" s="329" customFormat="1">
      <c r="B23" s="262" t="s">
        <v>13</v>
      </c>
      <c r="C23" s="55">
        <v>2064</v>
      </c>
      <c r="D23" s="54">
        <f t="shared" si="0"/>
        <v>0.84176182707993474</v>
      </c>
      <c r="E23" s="512">
        <v>2032</v>
      </c>
      <c r="F23" s="55">
        <f>SUM(Table4791113157212579399[[#This Row],[Persons]]-Table4791113157212579399[[#This Row],[2011 Census]])</f>
        <v>32</v>
      </c>
      <c r="G23" s="54">
        <f>IFERROR(Table4791113157212579399[[#This Row],[Change 2011-2016]]/Table4791113157212579399[[#This Row],[2011 Census]],"..")</f>
        <v>1.5748031496062992E-2</v>
      </c>
    </row>
    <row r="24" spans="2:10" s="329" customFormat="1">
      <c r="B24" s="262" t="s">
        <v>869</v>
      </c>
      <c r="C24" s="1121">
        <v>22</v>
      </c>
      <c r="D24" s="54">
        <f t="shared" si="0"/>
        <v>8.9722675367047301E-3</v>
      </c>
      <c r="E24" s="512">
        <v>0</v>
      </c>
      <c r="F24" s="55">
        <f>SUM(Table4791113157212579399[[#This Row],[Persons]]-Table4791113157212579399[[#This Row],[2011 Census]])</f>
        <v>22</v>
      </c>
      <c r="G24" s="54" t="str">
        <f>IFERROR(Table4791113157212579399[[#This Row],[Change 2011-2016]]/Table4791113157212579399[[#This Row],[2011 Census]],"..")</f>
        <v>..</v>
      </c>
    </row>
    <row r="25" spans="2:10" s="329" customFormat="1" ht="15.95" customHeight="1">
      <c r="B25" s="262" t="s">
        <v>870</v>
      </c>
      <c r="C25" s="55">
        <v>16</v>
      </c>
      <c r="D25" s="54">
        <f t="shared" si="0"/>
        <v>6.5252854812398045E-3</v>
      </c>
      <c r="E25" s="512">
        <v>0</v>
      </c>
      <c r="F25" s="55">
        <f>SUM(Table4791113157212579399[[#This Row],[Persons]]-Table4791113157212579399[[#This Row],[2011 Census]])</f>
        <v>16</v>
      </c>
      <c r="G25" s="54" t="str">
        <f>IFERROR(Table4791113157212579399[[#This Row],[Change 2011-2016]]/Table4791113157212579399[[#This Row],[2011 Census]],"..")</f>
        <v>..</v>
      </c>
    </row>
    <row r="26" spans="2:10" s="329" customFormat="1">
      <c r="B26" s="349" t="s">
        <v>366</v>
      </c>
    </row>
    <row r="27" spans="2:10" s="329" customFormat="1">
      <c r="B27" s="349"/>
    </row>
    <row r="28" spans="2:10" s="329" customFormat="1" ht="23.25">
      <c r="B28" s="127" t="s">
        <v>764</v>
      </c>
      <c r="D28" s="513"/>
      <c r="E28" s="514"/>
      <c r="F28" s="514"/>
      <c r="G28" s="514"/>
    </row>
    <row r="29" spans="2:10" s="329" customFormat="1" ht="15.75">
      <c r="B29" s="133" t="s">
        <v>333</v>
      </c>
    </row>
    <row r="30" spans="2:10" s="128" customFormat="1" ht="25.5">
      <c r="B30" s="252" t="s">
        <v>14</v>
      </c>
      <c r="C30" s="252" t="s">
        <v>15</v>
      </c>
      <c r="D30" s="252" t="s">
        <v>16</v>
      </c>
      <c r="E30" s="252" t="s">
        <v>17</v>
      </c>
      <c r="F30" s="252" t="s">
        <v>18</v>
      </c>
      <c r="G30" s="252" t="s">
        <v>19</v>
      </c>
      <c r="H30" s="252" t="s">
        <v>20</v>
      </c>
      <c r="I30" s="1240"/>
      <c r="J30" s="1240"/>
    </row>
    <row r="31" spans="2:10" s="329" customFormat="1">
      <c r="B31" s="155" t="s">
        <v>81</v>
      </c>
      <c r="C31" s="287">
        <v>6</v>
      </c>
      <c r="D31" s="287">
        <v>4</v>
      </c>
      <c r="E31" s="287">
        <v>13</v>
      </c>
      <c r="F31" s="288">
        <f>(Table55202469298[[#This Row],[Persons 2016]]/$C$17)</f>
        <v>0.18571428571428572</v>
      </c>
      <c r="G31" s="288" t="s">
        <v>94</v>
      </c>
      <c r="H31" s="288" t="str">
        <f>IFERROR((Table55202469298[[#This Row],[Persons 2016]]-Table55202469298[[#This Row],[Persons 2011]])/Table55202469298[[#This Row],[Persons 2011]],"..")</f>
        <v>..</v>
      </c>
      <c r="I31" s="1250"/>
      <c r="J31" s="1250"/>
    </row>
    <row r="32" spans="2:10" s="329" customFormat="1">
      <c r="B32" s="655" t="s">
        <v>76</v>
      </c>
      <c r="C32" s="287">
        <v>7</v>
      </c>
      <c r="D32" s="287">
        <v>5</v>
      </c>
      <c r="E32" s="287">
        <v>10</v>
      </c>
      <c r="F32" s="288">
        <f>(Table55202469298[[#This Row],[Persons 2016]]/$C$17)</f>
        <v>0.14285714285714285</v>
      </c>
      <c r="G32" s="288" t="s">
        <v>94</v>
      </c>
      <c r="H32" s="288" t="str">
        <f>IFERROR((Table55202469298[[#This Row],[Persons 2016]]-Table55202469298[[#This Row],[Persons 2011]])/Table55202469298[[#This Row],[Persons 2011]],"..")</f>
        <v>..</v>
      </c>
      <c r="I32" s="1250"/>
      <c r="J32" s="1250"/>
    </row>
    <row r="33" spans="2:10" s="329" customFormat="1">
      <c r="B33" s="655" t="s">
        <v>73</v>
      </c>
      <c r="C33" s="287">
        <v>7</v>
      </c>
      <c r="D33" s="287">
        <v>4</v>
      </c>
      <c r="E33" s="287">
        <v>9</v>
      </c>
      <c r="F33" s="288">
        <f>(Table55202469298[[#This Row],[Persons 2016]]/$C$17)</f>
        <v>0.12857142857142856</v>
      </c>
      <c r="G33" s="288" t="s">
        <v>94</v>
      </c>
      <c r="H33" s="288" t="str">
        <f>IFERROR((Table55202469298[[#This Row],[Persons 2016]]-Table55202469298[[#This Row],[Persons 2011]])/Table55202469298[[#This Row],[Persons 2011]],"..")</f>
        <v>..</v>
      </c>
      <c r="I33" s="1250"/>
      <c r="J33" s="1250"/>
    </row>
    <row r="34" spans="2:10" s="329" customFormat="1">
      <c r="B34" s="907" t="s">
        <v>92</v>
      </c>
      <c r="C34" s="287">
        <v>5</v>
      </c>
      <c r="D34" s="287">
        <v>4</v>
      </c>
      <c r="E34" s="287">
        <v>6</v>
      </c>
      <c r="F34" s="288">
        <f>(Table55202469298[[#This Row],[Persons 2016]]/$C$17)</f>
        <v>8.5714285714285715E-2</v>
      </c>
      <c r="G34" s="288" t="s">
        <v>94</v>
      </c>
      <c r="H34" s="288" t="str">
        <f>IFERROR((Table55202469298[[#This Row],[Persons 2016]]-Table55202469298[[#This Row],[Persons 2011]])/Table55202469298[[#This Row],[Persons 2011]],"..")</f>
        <v>..</v>
      </c>
      <c r="I34" s="1250"/>
      <c r="J34" s="1250"/>
    </row>
    <row r="35" spans="2:10" s="329" customFormat="1">
      <c r="B35" s="907" t="s">
        <v>82</v>
      </c>
      <c r="C35" s="287">
        <v>3</v>
      </c>
      <c r="D35" s="287">
        <v>0</v>
      </c>
      <c r="E35" s="287">
        <v>5</v>
      </c>
      <c r="F35" s="288">
        <f>(Table55202469298[[#This Row],[Persons 2016]]/$C$17)</f>
        <v>7.1428571428571425E-2</v>
      </c>
      <c r="G35" s="288" t="s">
        <v>94</v>
      </c>
      <c r="H35" s="288" t="str">
        <f>IFERROR((Table55202469298[[#This Row],[Persons 2016]]-Table55202469298[[#This Row],[Persons 2011]])/Table55202469298[[#This Row],[Persons 2011]],"..")</f>
        <v>..</v>
      </c>
      <c r="I35" s="1250"/>
      <c r="J35" s="1250"/>
    </row>
    <row r="36" spans="2:10" s="329" customFormat="1">
      <c r="B36" s="655" t="s">
        <v>91</v>
      </c>
      <c r="C36" s="287">
        <v>0</v>
      </c>
      <c r="D36" s="287">
        <v>0</v>
      </c>
      <c r="E36" s="287">
        <v>5</v>
      </c>
      <c r="F36" s="288">
        <f>(Table55202469298[[#This Row],[Persons 2016]]/$C$17)</f>
        <v>7.1428571428571425E-2</v>
      </c>
      <c r="G36" s="288" t="s">
        <v>94</v>
      </c>
      <c r="H36" s="288" t="str">
        <f>IFERROR((Table55202469298[[#This Row],[Persons 2016]]-Table55202469298[[#This Row],[Persons 2011]])/Table55202469298[[#This Row],[Persons 2011]],"..")</f>
        <v>..</v>
      </c>
      <c r="I36" s="1250"/>
      <c r="J36" s="1250"/>
    </row>
    <row r="37" spans="2:10" s="329" customFormat="1">
      <c r="B37" s="907" t="s">
        <v>139</v>
      </c>
      <c r="C37" s="287">
        <v>0</v>
      </c>
      <c r="D37" s="287">
        <v>0</v>
      </c>
      <c r="E37" s="287">
        <v>3</v>
      </c>
      <c r="F37" s="288">
        <f>(Table55202469298[[#This Row],[Persons 2016]]/$C$17)</f>
        <v>4.2857142857142858E-2</v>
      </c>
      <c r="G37" s="288" t="s">
        <v>94</v>
      </c>
      <c r="H37" s="288" t="str">
        <f>IFERROR((Table55202469298[[#This Row],[Persons 2016]]-Table55202469298[[#This Row],[Persons 2011]])/Table55202469298[[#This Row],[Persons 2011]],"..")</f>
        <v>..</v>
      </c>
      <c r="I37" s="1250"/>
      <c r="J37" s="1250"/>
    </row>
    <row r="38" spans="2:10" s="329" customFormat="1">
      <c r="B38" s="655" t="s">
        <v>138</v>
      </c>
      <c r="C38" s="287">
        <v>3</v>
      </c>
      <c r="D38" s="287">
        <v>0</v>
      </c>
      <c r="E38" s="287">
        <v>3</v>
      </c>
      <c r="F38" s="288">
        <f>(Table55202469298[[#This Row],[Persons 2016]]/$C$17)</f>
        <v>4.2857142857142858E-2</v>
      </c>
      <c r="G38" s="288" t="s">
        <v>94</v>
      </c>
      <c r="H38" s="288" t="str">
        <f>IFERROR((Table55202469298[[#This Row],[Persons 2016]]-Table55202469298[[#This Row],[Persons 2011]])/Table55202469298[[#This Row],[Persons 2011]],"..")</f>
        <v>..</v>
      </c>
      <c r="I38" s="1250"/>
      <c r="J38" s="1250"/>
    </row>
    <row r="39" spans="2:10">
      <c r="B39" s="907" t="s">
        <v>94</v>
      </c>
      <c r="C39" s="60" t="s">
        <v>94</v>
      </c>
      <c r="D39" s="60" t="s">
        <v>94</v>
      </c>
      <c r="E39" s="60" t="s">
        <v>94</v>
      </c>
      <c r="F39" s="288" t="s">
        <v>94</v>
      </c>
      <c r="G39" s="288" t="s">
        <v>94</v>
      </c>
      <c r="H39" s="288" t="str">
        <f>IFERROR((Table55202469298[[#This Row],[Persons 2016]]-Table55202469298[[#This Row],[Persons 2011]])/Table55202469298[[#This Row],[Persons 2011]],"..")</f>
        <v>..</v>
      </c>
      <c r="I39" s="1241"/>
      <c r="J39" s="1241"/>
    </row>
    <row r="40" spans="2:10">
      <c r="B40" s="907" t="s">
        <v>94</v>
      </c>
      <c r="C40" s="60" t="s">
        <v>94</v>
      </c>
      <c r="D40" s="60" t="s">
        <v>94</v>
      </c>
      <c r="E40" s="60" t="s">
        <v>94</v>
      </c>
      <c r="F40" s="288" t="s">
        <v>94</v>
      </c>
      <c r="G40" s="288" t="s">
        <v>94</v>
      </c>
      <c r="H40" s="288" t="str">
        <f>IFERROR((Table55202469298[[#This Row],[Persons 2016]]-Table55202469298[[#This Row],[Persons 2011]])/Table55202469298[[#This Row],[Persons 2011]],"..")</f>
        <v>..</v>
      </c>
      <c r="I40" s="1241"/>
      <c r="J40" s="1241"/>
    </row>
    <row r="41" spans="2:10">
      <c r="B41" s="655" t="s">
        <v>369</v>
      </c>
      <c r="C41" s="287">
        <f>C42-SUM(C31:C40)</f>
        <v>14</v>
      </c>
      <c r="D41" s="287">
        <f t="shared" ref="D41:E41" si="1">D42-SUM(D31:D40)</f>
        <v>13</v>
      </c>
      <c r="E41" s="287">
        <f t="shared" si="1"/>
        <v>16</v>
      </c>
      <c r="F41" s="656">
        <f>(Table55202469298[[#This Row],[Persons 2016]]/$C$17)</f>
        <v>0.22857142857142856</v>
      </c>
      <c r="G41" s="288" t="s">
        <v>94</v>
      </c>
      <c r="H41" s="656" t="str">
        <f>IFERROR((Table55202469298[[#This Row],[Persons 2016]]-Table55202469298[[#This Row],[Persons 2011]])/Table55202469298[[#This Row],[Persons 2011]],"..")</f>
        <v>..</v>
      </c>
      <c r="I41" s="1241"/>
      <c r="J41" s="1241"/>
    </row>
    <row r="42" spans="2:10">
      <c r="B42" s="522" t="s">
        <v>21</v>
      </c>
      <c r="C42" s="1113">
        <v>45</v>
      </c>
      <c r="D42" s="1113">
        <v>30</v>
      </c>
      <c r="E42" s="1114">
        <f>C17</f>
        <v>70</v>
      </c>
      <c r="F42" s="1115">
        <f>(Table55202469298[[#This Row],[Persons 2016]]/$C$17)</f>
        <v>1</v>
      </c>
      <c r="G42" s="1116">
        <f>E17</f>
        <v>4</v>
      </c>
      <c r="H42" s="1117">
        <f>IFERROR((Table55202469298[[#This Row],[Persons 2016]]-Table55202469298[[#This Row],[Persons 2011]])/Table55202469298[[#This Row],[Persons 2011]],"..")</f>
        <v>16.5</v>
      </c>
      <c r="I42" s="1242"/>
      <c r="J42" s="1242"/>
    </row>
    <row r="43" spans="2:10" s="329" customFormat="1">
      <c r="B43" s="349" t="s">
        <v>366</v>
      </c>
    </row>
    <row r="45" spans="2:10" ht="23.25">
      <c r="B45" s="127" t="s">
        <v>765</v>
      </c>
    </row>
    <row r="46" spans="2:10" ht="15.75">
      <c r="B46" s="138" t="s">
        <v>832</v>
      </c>
    </row>
    <row r="47" spans="2:10">
      <c r="B47" s="149" t="s">
        <v>871</v>
      </c>
    </row>
    <row r="48" spans="2:10">
      <c r="B48" s="266" t="s">
        <v>14</v>
      </c>
      <c r="C48" s="144" t="s">
        <v>23</v>
      </c>
      <c r="D48" s="144" t="s">
        <v>24</v>
      </c>
      <c r="E48" s="144" t="s">
        <v>25</v>
      </c>
      <c r="F48" s="144" t="s">
        <v>26</v>
      </c>
      <c r="G48" s="144" t="s">
        <v>27</v>
      </c>
      <c r="H48" s="421" t="s">
        <v>28</v>
      </c>
    </row>
    <row r="49" spans="2:8">
      <c r="B49" s="292" t="s">
        <v>81</v>
      </c>
      <c r="C49" s="103">
        <v>0</v>
      </c>
      <c r="D49" s="103">
        <v>0</v>
      </c>
      <c r="E49" s="103">
        <v>7</v>
      </c>
      <c r="F49" s="242">
        <v>3</v>
      </c>
      <c r="G49" s="103">
        <v>0</v>
      </c>
      <c r="H49" s="293">
        <v>13</v>
      </c>
    </row>
    <row r="50" spans="2:8">
      <c r="B50" s="912" t="s">
        <v>76</v>
      </c>
      <c r="C50" s="106">
        <v>5</v>
      </c>
      <c r="D50" s="106">
        <v>0</v>
      </c>
      <c r="E50" s="106">
        <v>6</v>
      </c>
      <c r="F50" s="239">
        <v>5</v>
      </c>
      <c r="G50" s="106">
        <v>0</v>
      </c>
      <c r="H50" s="295">
        <v>10</v>
      </c>
    </row>
    <row r="51" spans="2:8">
      <c r="B51" s="914" t="s">
        <v>73</v>
      </c>
      <c r="C51" s="103">
        <v>0</v>
      </c>
      <c r="D51" s="103">
        <v>0</v>
      </c>
      <c r="E51" s="103">
        <v>3</v>
      </c>
      <c r="F51" s="242">
        <v>4</v>
      </c>
      <c r="G51" s="103">
        <v>0</v>
      </c>
      <c r="H51" s="296">
        <v>9</v>
      </c>
    </row>
    <row r="52" spans="2:8">
      <c r="B52" s="294" t="s">
        <v>92</v>
      </c>
      <c r="C52" s="106">
        <v>0</v>
      </c>
      <c r="D52" s="106">
        <v>0</v>
      </c>
      <c r="E52" s="106">
        <v>4</v>
      </c>
      <c r="F52" s="239">
        <v>3</v>
      </c>
      <c r="G52" s="106">
        <v>0</v>
      </c>
      <c r="H52" s="295">
        <v>6</v>
      </c>
    </row>
    <row r="53" spans="2:8">
      <c r="B53" s="292" t="s">
        <v>82</v>
      </c>
      <c r="C53" s="103">
        <v>0</v>
      </c>
      <c r="D53" s="103">
        <v>0</v>
      </c>
      <c r="E53" s="103">
        <v>0</v>
      </c>
      <c r="F53" s="242">
        <v>0</v>
      </c>
      <c r="G53" s="103">
        <v>0</v>
      </c>
      <c r="H53" s="296">
        <v>5</v>
      </c>
    </row>
    <row r="54" spans="2:8">
      <c r="B54" s="912" t="s">
        <v>91</v>
      </c>
      <c r="C54" s="106">
        <v>0</v>
      </c>
      <c r="D54" s="106">
        <v>0</v>
      </c>
      <c r="E54" s="106">
        <v>0</v>
      </c>
      <c r="F54" s="239">
        <v>0</v>
      </c>
      <c r="G54" s="106">
        <v>0</v>
      </c>
      <c r="H54" s="295">
        <v>5</v>
      </c>
    </row>
    <row r="55" spans="2:8">
      <c r="B55" s="292" t="s">
        <v>138</v>
      </c>
      <c r="C55" s="103">
        <v>0</v>
      </c>
      <c r="D55" s="103">
        <v>0</v>
      </c>
      <c r="E55" s="103">
        <v>0</v>
      </c>
      <c r="F55" s="242">
        <v>0</v>
      </c>
      <c r="G55" s="103">
        <v>3</v>
      </c>
      <c r="H55" s="296">
        <v>3</v>
      </c>
    </row>
    <row r="56" spans="2:8">
      <c r="B56" s="912" t="s">
        <v>139</v>
      </c>
      <c r="C56" s="106">
        <v>0</v>
      </c>
      <c r="D56" s="106">
        <v>0</v>
      </c>
      <c r="E56" s="106">
        <v>0</v>
      </c>
      <c r="F56" s="239">
        <v>0</v>
      </c>
      <c r="G56" s="106">
        <v>0</v>
      </c>
      <c r="H56" s="295">
        <v>3</v>
      </c>
    </row>
    <row r="57" spans="2:8">
      <c r="B57" s="426" t="s">
        <v>94</v>
      </c>
      <c r="C57" s="103" t="s">
        <v>94</v>
      </c>
      <c r="D57" s="103" t="s">
        <v>94</v>
      </c>
      <c r="E57" s="103" t="s">
        <v>94</v>
      </c>
      <c r="F57" s="242" t="s">
        <v>94</v>
      </c>
      <c r="G57" s="103" t="s">
        <v>94</v>
      </c>
      <c r="H57" s="296" t="s">
        <v>94</v>
      </c>
    </row>
    <row r="58" spans="2:8">
      <c r="B58" s="294" t="s">
        <v>94</v>
      </c>
      <c r="C58" s="106" t="s">
        <v>94</v>
      </c>
      <c r="D58" s="106" t="s">
        <v>94</v>
      </c>
      <c r="E58" s="106" t="s">
        <v>94</v>
      </c>
      <c r="F58" s="239" t="s">
        <v>94</v>
      </c>
      <c r="G58" s="106" t="s">
        <v>94</v>
      </c>
      <c r="H58" s="295" t="s">
        <v>94</v>
      </c>
    </row>
    <row r="59" spans="2:8">
      <c r="B59" s="297" t="s">
        <v>29</v>
      </c>
      <c r="C59" s="141">
        <v>606</v>
      </c>
      <c r="D59" s="141">
        <v>370</v>
      </c>
      <c r="E59" s="141">
        <v>743</v>
      </c>
      <c r="F59" s="141">
        <v>513</v>
      </c>
      <c r="G59" s="141">
        <v>93</v>
      </c>
      <c r="H59" s="278">
        <v>2322</v>
      </c>
    </row>
    <row r="60" spans="2:8">
      <c r="B60" s="298" t="s">
        <v>30</v>
      </c>
      <c r="C60" s="142">
        <v>0</v>
      </c>
      <c r="D60" s="142">
        <v>0</v>
      </c>
      <c r="E60" s="142">
        <v>7</v>
      </c>
      <c r="F60" s="142">
        <v>9</v>
      </c>
      <c r="G60" s="679">
        <v>3</v>
      </c>
      <c r="H60" s="280">
        <v>23</v>
      </c>
    </row>
    <row r="61" spans="2:8">
      <c r="B61" s="299" t="s">
        <v>31</v>
      </c>
      <c r="C61" s="282">
        <v>7</v>
      </c>
      <c r="D61" s="282">
        <v>0</v>
      </c>
      <c r="E61" s="282">
        <v>25</v>
      </c>
      <c r="F61" s="282">
        <v>18</v>
      </c>
      <c r="G61" s="282">
        <v>5</v>
      </c>
      <c r="H61" s="283">
        <v>48</v>
      </c>
    </row>
    <row r="63" spans="2:8" ht="23.25">
      <c r="B63" s="127" t="s">
        <v>766</v>
      </c>
    </row>
    <row r="64" spans="2:8" ht="15.75">
      <c r="B64" s="138" t="s">
        <v>833</v>
      </c>
    </row>
    <row r="65" spans="2:8">
      <c r="B65" s="149" t="s">
        <v>871</v>
      </c>
    </row>
    <row r="66" spans="2:8">
      <c r="B66" s="266" t="s">
        <v>14</v>
      </c>
      <c r="C66" s="144" t="s">
        <v>23</v>
      </c>
      <c r="D66" s="144" t="s">
        <v>24</v>
      </c>
      <c r="E66" s="144" t="s">
        <v>25</v>
      </c>
      <c r="F66" s="144" t="s">
        <v>26</v>
      </c>
      <c r="G66" s="144" t="s">
        <v>27</v>
      </c>
      <c r="H66" s="421" t="s">
        <v>28</v>
      </c>
    </row>
    <row r="67" spans="2:8">
      <c r="B67" s="292" t="str">
        <f t="shared" ref="B67:B76" si="2">B49</f>
        <v>Fiji</v>
      </c>
      <c r="C67" s="64">
        <f t="shared" ref="C67:C74" si="3">SUM(C49/H49)</f>
        <v>0</v>
      </c>
      <c r="D67" s="64">
        <f t="shared" ref="D67:D74" si="4">SUM(D49/H49)</f>
        <v>0</v>
      </c>
      <c r="E67" s="64">
        <f t="shared" ref="E67:E74" si="5">SUM(E49/H49)</f>
        <v>0.53846153846153844</v>
      </c>
      <c r="F67" s="64">
        <f t="shared" ref="F67:F74" si="6">SUM(F49/H49)</f>
        <v>0.23076923076923078</v>
      </c>
      <c r="G67" s="64">
        <f t="shared" ref="G67:G74" si="7">SUM(G49/H49)</f>
        <v>0</v>
      </c>
      <c r="H67" s="293">
        <f t="shared" ref="H67:H79" si="8">H49</f>
        <v>13</v>
      </c>
    </row>
    <row r="68" spans="2:8">
      <c r="B68" s="294" t="str">
        <f t="shared" si="2"/>
        <v>Philippines</v>
      </c>
      <c r="C68" s="54">
        <f t="shared" si="3"/>
        <v>0.5</v>
      </c>
      <c r="D68" s="54">
        <f t="shared" si="4"/>
        <v>0</v>
      </c>
      <c r="E68" s="54">
        <f t="shared" si="5"/>
        <v>0.6</v>
      </c>
      <c r="F68" s="54">
        <f t="shared" si="6"/>
        <v>0.5</v>
      </c>
      <c r="G68" s="54">
        <f t="shared" si="7"/>
        <v>0</v>
      </c>
      <c r="H68" s="295">
        <f t="shared" si="8"/>
        <v>10</v>
      </c>
    </row>
    <row r="69" spans="2:8">
      <c r="B69" s="292" t="str">
        <f t="shared" si="2"/>
        <v>New Zealand</v>
      </c>
      <c r="C69" s="64">
        <f t="shared" si="3"/>
        <v>0</v>
      </c>
      <c r="D69" s="64">
        <f t="shared" si="4"/>
        <v>0</v>
      </c>
      <c r="E69" s="64">
        <f t="shared" si="5"/>
        <v>0.33333333333333331</v>
      </c>
      <c r="F69" s="64">
        <f t="shared" si="6"/>
        <v>0.44444444444444442</v>
      </c>
      <c r="G69" s="64">
        <f t="shared" si="7"/>
        <v>0</v>
      </c>
      <c r="H69" s="296">
        <f t="shared" si="8"/>
        <v>9</v>
      </c>
    </row>
    <row r="70" spans="2:8">
      <c r="B70" s="294" t="str">
        <f t="shared" si="2"/>
        <v>England</v>
      </c>
      <c r="C70" s="54">
        <f t="shared" si="3"/>
        <v>0</v>
      </c>
      <c r="D70" s="54">
        <f t="shared" si="4"/>
        <v>0</v>
      </c>
      <c r="E70" s="54">
        <f t="shared" si="5"/>
        <v>0.66666666666666663</v>
      </c>
      <c r="F70" s="54">
        <f t="shared" si="6"/>
        <v>0.5</v>
      </c>
      <c r="G70" s="54">
        <f t="shared" si="7"/>
        <v>0</v>
      </c>
      <c r="H70" s="295">
        <f t="shared" si="8"/>
        <v>6</v>
      </c>
    </row>
    <row r="71" spans="2:8">
      <c r="B71" s="292" t="str">
        <f t="shared" si="2"/>
        <v>Vietnam</v>
      </c>
      <c r="C71" s="64">
        <f t="shared" si="3"/>
        <v>0</v>
      </c>
      <c r="D71" s="64">
        <f t="shared" si="4"/>
        <v>0</v>
      </c>
      <c r="E71" s="64">
        <f t="shared" si="5"/>
        <v>0</v>
      </c>
      <c r="F71" s="64">
        <f t="shared" si="6"/>
        <v>0</v>
      </c>
      <c r="G71" s="64">
        <f t="shared" si="7"/>
        <v>0</v>
      </c>
      <c r="H71" s="296">
        <f t="shared" si="8"/>
        <v>5</v>
      </c>
    </row>
    <row r="72" spans="2:8">
      <c r="B72" s="294" t="str">
        <f t="shared" si="2"/>
        <v>Indonesia</v>
      </c>
      <c r="C72" s="54">
        <f t="shared" si="3"/>
        <v>0</v>
      </c>
      <c r="D72" s="54">
        <f t="shared" si="4"/>
        <v>0</v>
      </c>
      <c r="E72" s="54">
        <f t="shared" si="5"/>
        <v>0</v>
      </c>
      <c r="F72" s="54">
        <f t="shared" si="6"/>
        <v>0</v>
      </c>
      <c r="G72" s="54">
        <f t="shared" si="7"/>
        <v>0</v>
      </c>
      <c r="H72" s="295">
        <f t="shared" si="8"/>
        <v>5</v>
      </c>
    </row>
    <row r="73" spans="2:8">
      <c r="B73" s="292" t="str">
        <f t="shared" si="2"/>
        <v>United Kingdom, Channel Islands and Isle of Man, nfd</v>
      </c>
      <c r="C73" s="64">
        <f t="shared" si="3"/>
        <v>0</v>
      </c>
      <c r="D73" s="64">
        <f t="shared" si="4"/>
        <v>0</v>
      </c>
      <c r="E73" s="64">
        <f t="shared" si="5"/>
        <v>0</v>
      </c>
      <c r="F73" s="64">
        <f t="shared" si="6"/>
        <v>0</v>
      </c>
      <c r="G73" s="64">
        <f t="shared" si="7"/>
        <v>1</v>
      </c>
      <c r="H73" s="296">
        <f t="shared" si="8"/>
        <v>3</v>
      </c>
    </row>
    <row r="74" spans="2:8">
      <c r="B74" s="294" t="str">
        <f t="shared" si="2"/>
        <v>Brazil</v>
      </c>
      <c r="C74" s="54">
        <f t="shared" si="3"/>
        <v>0</v>
      </c>
      <c r="D74" s="54">
        <f t="shared" si="4"/>
        <v>0</v>
      </c>
      <c r="E74" s="54">
        <f t="shared" si="5"/>
        <v>0</v>
      </c>
      <c r="F74" s="54">
        <f t="shared" si="6"/>
        <v>0</v>
      </c>
      <c r="G74" s="54">
        <f t="shared" si="7"/>
        <v>0</v>
      </c>
      <c r="H74" s="295">
        <f t="shared" si="8"/>
        <v>3</v>
      </c>
    </row>
    <row r="75" spans="2:8">
      <c r="B75" s="292" t="str">
        <f t="shared" si="2"/>
        <v>..</v>
      </c>
      <c r="C75" s="64" t="str">
        <f>IFERROR((C57/$H$57),"..")</f>
        <v>..</v>
      </c>
      <c r="D75" s="64" t="str">
        <f>IFERROR((D57/$H$57),"..")</f>
        <v>..</v>
      </c>
      <c r="E75" s="64" t="str">
        <f>IFERROR((E57/$H$57),"..")</f>
        <v>..</v>
      </c>
      <c r="F75" s="64" t="str">
        <f>IFERROR((F57/$H$57),"..")</f>
        <v>..</v>
      </c>
      <c r="G75" s="64" t="str">
        <f>IFERROR((G57/$H$57),"..")</f>
        <v>..</v>
      </c>
      <c r="H75" s="296" t="str">
        <f t="shared" si="8"/>
        <v>..</v>
      </c>
    </row>
    <row r="76" spans="2:8">
      <c r="B76" s="294" t="str">
        <f t="shared" si="2"/>
        <v>..</v>
      </c>
      <c r="C76" s="54" t="str">
        <f>IFERROR((C58/$H$58),"..")</f>
        <v>..</v>
      </c>
      <c r="D76" s="54" t="str">
        <f>IFERROR((D58/$H$58),"..")</f>
        <v>..</v>
      </c>
      <c r="E76" s="54" t="str">
        <f>IFERROR((E58/$H$58),"..")</f>
        <v>..</v>
      </c>
      <c r="F76" s="54" t="str">
        <f>IFERROR((F58/$H$58),"..")</f>
        <v>..</v>
      </c>
      <c r="G76" s="54" t="str">
        <f>IFERROR((G58/$H$58),"..")</f>
        <v>..</v>
      </c>
      <c r="H76" s="295" t="str">
        <f t="shared" si="8"/>
        <v>..</v>
      </c>
    </row>
    <row r="77" spans="2:8">
      <c r="B77" s="297" t="s">
        <v>29</v>
      </c>
      <c r="C77" s="70">
        <f>SUM(C59/H59)</f>
        <v>0.26098191214470284</v>
      </c>
      <c r="D77" s="70">
        <f>SUM(D59/H59)</f>
        <v>0.15934539190353145</v>
      </c>
      <c r="E77" s="70">
        <f>SUM(E59/H59)</f>
        <v>0.31998277347114557</v>
      </c>
      <c r="F77" s="70">
        <f>SUM(F59/H59)</f>
        <v>0.22093023255813954</v>
      </c>
      <c r="G77" s="70">
        <f>SUM(G59/H59)</f>
        <v>4.0051679586563305E-2</v>
      </c>
      <c r="H77" s="278">
        <f t="shared" si="8"/>
        <v>2322</v>
      </c>
    </row>
    <row r="78" spans="2:8">
      <c r="B78" s="298" t="s">
        <v>30</v>
      </c>
      <c r="C78" s="73">
        <f>SUM(C60/H60)</f>
        <v>0</v>
      </c>
      <c r="D78" s="73">
        <f>SUM(D60/H60)</f>
        <v>0</v>
      </c>
      <c r="E78" s="73">
        <f>SUM(E60/H60)</f>
        <v>0.30434782608695654</v>
      </c>
      <c r="F78" s="73">
        <f>SUM(F60/H60)</f>
        <v>0.39130434782608697</v>
      </c>
      <c r="G78" s="73">
        <f>SUM(G60/H60)</f>
        <v>0.13043478260869565</v>
      </c>
      <c r="H78" s="280">
        <f t="shared" si="8"/>
        <v>23</v>
      </c>
    </row>
    <row r="79" spans="2:8">
      <c r="B79" s="299" t="s">
        <v>31</v>
      </c>
      <c r="C79" s="300">
        <f>SUM(C61/H61)</f>
        <v>0.14583333333333334</v>
      </c>
      <c r="D79" s="300">
        <f>SUM(D61/H61)</f>
        <v>0</v>
      </c>
      <c r="E79" s="300">
        <f>SUM(E61/H61)</f>
        <v>0.52083333333333337</v>
      </c>
      <c r="F79" s="300">
        <f>SUM(F61/H61)</f>
        <v>0.375</v>
      </c>
      <c r="G79" s="300">
        <f>SUM(G61/H61)</f>
        <v>0.10416666666666667</v>
      </c>
      <c r="H79" s="283">
        <f t="shared" si="8"/>
        <v>48</v>
      </c>
    </row>
    <row r="81" spans="2:8" ht="23.25">
      <c r="B81" s="127" t="s">
        <v>767</v>
      </c>
    </row>
    <row r="82" spans="2:8" ht="15.75">
      <c r="B82" s="150" t="s">
        <v>844</v>
      </c>
    </row>
    <row r="83" spans="2:8">
      <c r="B83" s="149" t="s">
        <v>845</v>
      </c>
    </row>
    <row r="84" spans="2:8">
      <c r="B84" s="151" t="s">
        <v>14</v>
      </c>
      <c r="C84" s="152" t="s">
        <v>32</v>
      </c>
      <c r="D84" s="152" t="s">
        <v>33</v>
      </c>
      <c r="E84" s="152" t="s">
        <v>34</v>
      </c>
      <c r="F84" s="152" t="s">
        <v>35</v>
      </c>
      <c r="G84" s="152">
        <v>2016</v>
      </c>
      <c r="H84" s="153" t="s">
        <v>28</v>
      </c>
    </row>
    <row r="85" spans="2:8">
      <c r="B85" s="154" t="s">
        <v>81</v>
      </c>
      <c r="C85" s="155">
        <v>0</v>
      </c>
      <c r="D85" s="155">
        <v>0</v>
      </c>
      <c r="E85" s="155">
        <v>4</v>
      </c>
      <c r="F85" s="156">
        <v>9</v>
      </c>
      <c r="G85" s="155">
        <v>5</v>
      </c>
      <c r="H85" s="157">
        <v>13</v>
      </c>
    </row>
    <row r="86" spans="2:8">
      <c r="B86" s="66" t="s">
        <v>76</v>
      </c>
      <c r="C86" s="158">
        <v>0</v>
      </c>
      <c r="D86" s="158">
        <v>0</v>
      </c>
      <c r="E86" s="158">
        <v>5</v>
      </c>
      <c r="F86" s="159">
        <v>6</v>
      </c>
      <c r="G86" s="158">
        <v>0</v>
      </c>
      <c r="H86" s="160">
        <v>10</v>
      </c>
    </row>
    <row r="87" spans="2:8">
      <c r="B87" s="63" t="s">
        <v>73</v>
      </c>
      <c r="C87" s="155">
        <v>9</v>
      </c>
      <c r="D87" s="155">
        <v>0</v>
      </c>
      <c r="E87" s="155">
        <v>0</v>
      </c>
      <c r="F87" s="156">
        <v>0</v>
      </c>
      <c r="G87" s="155">
        <v>0</v>
      </c>
      <c r="H87" s="161">
        <v>9</v>
      </c>
    </row>
    <row r="88" spans="2:8">
      <c r="B88" s="162" t="s">
        <v>92</v>
      </c>
      <c r="C88" s="158">
        <v>6</v>
      </c>
      <c r="D88" s="158">
        <v>0</v>
      </c>
      <c r="E88" s="158">
        <v>0</v>
      </c>
      <c r="F88" s="159">
        <v>0</v>
      </c>
      <c r="G88" s="158">
        <v>0</v>
      </c>
      <c r="H88" s="160">
        <v>6</v>
      </c>
    </row>
    <row r="89" spans="2:8" ht="10.5" customHeight="1">
      <c r="B89" s="154" t="s">
        <v>82</v>
      </c>
      <c r="C89" s="155">
        <v>3</v>
      </c>
      <c r="D89" s="155">
        <v>0</v>
      </c>
      <c r="E89" s="155">
        <v>0</v>
      </c>
      <c r="F89" s="156">
        <v>0</v>
      </c>
      <c r="G89" s="155">
        <v>0</v>
      </c>
      <c r="H89" s="161">
        <v>5</v>
      </c>
    </row>
    <row r="90" spans="2:8">
      <c r="B90" s="66" t="s">
        <v>91</v>
      </c>
      <c r="C90" s="158">
        <v>0</v>
      </c>
      <c r="D90" s="158">
        <v>0</v>
      </c>
      <c r="E90" s="158">
        <v>0</v>
      </c>
      <c r="F90" s="159">
        <v>5</v>
      </c>
      <c r="G90" s="158">
        <v>0</v>
      </c>
      <c r="H90" s="160">
        <v>5</v>
      </c>
    </row>
    <row r="91" spans="2:8">
      <c r="B91" s="63" t="s">
        <v>138</v>
      </c>
      <c r="C91" s="155">
        <v>0</v>
      </c>
      <c r="D91" s="155">
        <v>0</v>
      </c>
      <c r="E91" s="155">
        <v>0</v>
      </c>
      <c r="F91" s="156">
        <v>5</v>
      </c>
      <c r="G91" s="155">
        <v>0</v>
      </c>
      <c r="H91" s="161">
        <v>3</v>
      </c>
    </row>
    <row r="92" spans="2:8">
      <c r="B92" s="162" t="s">
        <v>139</v>
      </c>
      <c r="C92" s="158">
        <v>0</v>
      </c>
      <c r="D92" s="158">
        <v>3</v>
      </c>
      <c r="E92" s="158">
        <v>0</v>
      </c>
      <c r="F92" s="159">
        <v>0</v>
      </c>
      <c r="G92" s="158">
        <v>0</v>
      </c>
      <c r="H92" s="160">
        <v>3</v>
      </c>
    </row>
    <row r="93" spans="2:8">
      <c r="B93" s="191" t="s">
        <v>94</v>
      </c>
      <c r="C93" s="103" t="s">
        <v>94</v>
      </c>
      <c r="D93" s="103" t="s">
        <v>94</v>
      </c>
      <c r="E93" s="103" t="s">
        <v>94</v>
      </c>
      <c r="F93" s="241" t="s">
        <v>94</v>
      </c>
      <c r="G93" s="103" t="s">
        <v>94</v>
      </c>
      <c r="H93" s="68" t="s">
        <v>94</v>
      </c>
    </row>
    <row r="94" spans="2:8">
      <c r="B94" s="1122" t="s">
        <v>94</v>
      </c>
      <c r="C94" s="106" t="s">
        <v>94</v>
      </c>
      <c r="D94" s="106" t="s">
        <v>94</v>
      </c>
      <c r="E94" s="106" t="s">
        <v>94</v>
      </c>
      <c r="F94" s="238" t="s">
        <v>94</v>
      </c>
      <c r="G94" s="106" t="s">
        <v>94</v>
      </c>
      <c r="H94" s="67" t="s">
        <v>94</v>
      </c>
    </row>
    <row r="95" spans="2:8">
      <c r="B95" s="163" t="s">
        <v>30</v>
      </c>
      <c r="C95" s="163">
        <v>11</v>
      </c>
      <c r="D95" s="163">
        <v>4</v>
      </c>
      <c r="E95" s="163">
        <v>3</v>
      </c>
      <c r="F95" s="163">
        <v>0</v>
      </c>
      <c r="G95" s="164">
        <v>0</v>
      </c>
      <c r="H95" s="165">
        <f>C19</f>
        <v>23</v>
      </c>
    </row>
    <row r="96" spans="2:8">
      <c r="B96" s="166" t="s">
        <v>31</v>
      </c>
      <c r="C96" s="166">
        <v>4</v>
      </c>
      <c r="D96" s="166">
        <v>3</v>
      </c>
      <c r="E96" s="166">
        <v>8</v>
      </c>
      <c r="F96" s="166">
        <v>25</v>
      </c>
      <c r="G96" s="167">
        <v>5</v>
      </c>
      <c r="H96" s="168">
        <f>C20</f>
        <v>48</v>
      </c>
    </row>
    <row r="97" spans="2:20" ht="23.25">
      <c r="B97" s="127"/>
    </row>
    <row r="98" spans="2:20" ht="23.25">
      <c r="B98" s="127" t="s">
        <v>768</v>
      </c>
    </row>
    <row r="99" spans="2:20" ht="15.75">
      <c r="B99" s="150" t="s">
        <v>846</v>
      </c>
    </row>
    <row r="100" spans="2:20">
      <c r="B100" s="149" t="s">
        <v>845</v>
      </c>
      <c r="J100" s="169"/>
      <c r="K100" s="170"/>
      <c r="L100" s="170"/>
      <c r="M100" s="170"/>
      <c r="N100" s="170"/>
    </row>
    <row r="101" spans="2:20">
      <c r="B101" s="151" t="s">
        <v>14</v>
      </c>
      <c r="C101" s="152" t="s">
        <v>32</v>
      </c>
      <c r="D101" s="152" t="s">
        <v>33</v>
      </c>
      <c r="E101" s="152" t="s">
        <v>34</v>
      </c>
      <c r="F101" s="152" t="s">
        <v>35</v>
      </c>
      <c r="G101" s="152">
        <v>2016</v>
      </c>
      <c r="H101" s="153" t="s">
        <v>28</v>
      </c>
      <c r="J101" s="169"/>
      <c r="K101" s="170"/>
      <c r="L101" s="170"/>
      <c r="M101" s="170"/>
      <c r="N101" s="170"/>
    </row>
    <row r="102" spans="2:20">
      <c r="B102" s="63" t="str">
        <f t="shared" ref="B102:B111" si="9">B85</f>
        <v>Fiji</v>
      </c>
      <c r="C102" s="64">
        <f t="shared" ref="C102:C109" si="10">IFERROR(C85/H85,"-")</f>
        <v>0</v>
      </c>
      <c r="D102" s="64">
        <f t="shared" ref="D102:D109" si="11">IFERROR(D85/H85,"-")</f>
        <v>0</v>
      </c>
      <c r="E102" s="64">
        <f t="shared" ref="E102:E109" si="12">IFERROR(E85/H85,"-")</f>
        <v>0.30769230769230771</v>
      </c>
      <c r="F102" s="64">
        <f t="shared" ref="F102:F109" si="13">IFERROR(F85/H85,"-")</f>
        <v>0.69230769230769229</v>
      </c>
      <c r="G102" s="64">
        <f t="shared" ref="G102:G109" si="14">IFERROR(G85/H85,"-")</f>
        <v>0.38461538461538464</v>
      </c>
      <c r="H102" s="78">
        <f t="shared" ref="H102:H110" si="15">H85</f>
        <v>13</v>
      </c>
      <c r="J102" s="169"/>
      <c r="K102" s="170"/>
      <c r="L102" s="170"/>
      <c r="M102" s="170"/>
      <c r="N102" s="170"/>
    </row>
    <row r="103" spans="2:20">
      <c r="B103" s="66" t="str">
        <f t="shared" si="9"/>
        <v>Philippines</v>
      </c>
      <c r="C103" s="54">
        <f t="shared" si="10"/>
        <v>0</v>
      </c>
      <c r="D103" s="54">
        <f t="shared" si="11"/>
        <v>0</v>
      </c>
      <c r="E103" s="54">
        <f t="shared" si="12"/>
        <v>0.5</v>
      </c>
      <c r="F103" s="54">
        <f t="shared" si="13"/>
        <v>0.6</v>
      </c>
      <c r="G103" s="54">
        <f t="shared" si="14"/>
        <v>0</v>
      </c>
      <c r="H103" s="79">
        <f t="shared" si="15"/>
        <v>10</v>
      </c>
      <c r="J103" s="169"/>
      <c r="K103" s="170"/>
      <c r="L103" s="170"/>
      <c r="M103" s="170"/>
      <c r="N103" s="170"/>
    </row>
    <row r="104" spans="2:20">
      <c r="B104" s="63" t="str">
        <f t="shared" si="9"/>
        <v>New Zealand</v>
      </c>
      <c r="C104" s="64">
        <f t="shared" si="10"/>
        <v>1</v>
      </c>
      <c r="D104" s="64">
        <f t="shared" si="11"/>
        <v>0</v>
      </c>
      <c r="E104" s="64">
        <f t="shared" si="12"/>
        <v>0</v>
      </c>
      <c r="F104" s="64">
        <f t="shared" si="13"/>
        <v>0</v>
      </c>
      <c r="G104" s="64">
        <f t="shared" si="14"/>
        <v>0</v>
      </c>
      <c r="H104" s="80">
        <f t="shared" si="15"/>
        <v>9</v>
      </c>
      <c r="J104" s="169"/>
      <c r="K104" s="170"/>
      <c r="L104" s="170"/>
      <c r="M104" s="170"/>
      <c r="N104" s="170"/>
    </row>
    <row r="105" spans="2:20">
      <c r="B105" s="66" t="str">
        <f t="shared" si="9"/>
        <v>England</v>
      </c>
      <c r="C105" s="54">
        <f t="shared" si="10"/>
        <v>1</v>
      </c>
      <c r="D105" s="54">
        <f t="shared" si="11"/>
        <v>0</v>
      </c>
      <c r="E105" s="54">
        <f t="shared" si="12"/>
        <v>0</v>
      </c>
      <c r="F105" s="54">
        <f t="shared" si="13"/>
        <v>0</v>
      </c>
      <c r="G105" s="54">
        <f t="shared" si="14"/>
        <v>0</v>
      </c>
      <c r="H105" s="79">
        <f t="shared" si="15"/>
        <v>6</v>
      </c>
      <c r="J105" s="169"/>
      <c r="K105" s="170"/>
      <c r="L105" s="170"/>
      <c r="M105" s="170"/>
      <c r="N105" s="170"/>
    </row>
    <row r="106" spans="2:20">
      <c r="B106" s="63" t="str">
        <f t="shared" si="9"/>
        <v>Vietnam</v>
      </c>
      <c r="C106" s="64">
        <f t="shared" si="10"/>
        <v>0.6</v>
      </c>
      <c r="D106" s="64">
        <f t="shared" si="11"/>
        <v>0</v>
      </c>
      <c r="E106" s="64">
        <f t="shared" si="12"/>
        <v>0</v>
      </c>
      <c r="F106" s="64">
        <f t="shared" si="13"/>
        <v>0</v>
      </c>
      <c r="G106" s="64">
        <f t="shared" si="14"/>
        <v>0</v>
      </c>
      <c r="H106" s="80">
        <f t="shared" si="15"/>
        <v>5</v>
      </c>
      <c r="J106" s="169"/>
      <c r="K106" s="170"/>
      <c r="L106" s="170"/>
      <c r="M106" s="170"/>
      <c r="N106" s="170"/>
    </row>
    <row r="107" spans="2:20">
      <c r="B107" s="66" t="str">
        <f t="shared" si="9"/>
        <v>Indonesia</v>
      </c>
      <c r="C107" s="54">
        <f t="shared" si="10"/>
        <v>0</v>
      </c>
      <c r="D107" s="54">
        <f t="shared" si="11"/>
        <v>0</v>
      </c>
      <c r="E107" s="54">
        <f t="shared" si="12"/>
        <v>0</v>
      </c>
      <c r="F107" s="54">
        <f t="shared" si="13"/>
        <v>1</v>
      </c>
      <c r="G107" s="54">
        <f t="shared" si="14"/>
        <v>0</v>
      </c>
      <c r="H107" s="79">
        <f t="shared" si="15"/>
        <v>5</v>
      </c>
      <c r="J107" s="169"/>
      <c r="K107" s="170"/>
      <c r="L107" s="170"/>
      <c r="M107" s="170"/>
      <c r="N107" s="170"/>
    </row>
    <row r="108" spans="2:20">
      <c r="B108" s="63" t="str">
        <f t="shared" si="9"/>
        <v>United Kingdom, Channel Islands and Isle of Man, nfd</v>
      </c>
      <c r="C108" s="64">
        <f t="shared" si="10"/>
        <v>0</v>
      </c>
      <c r="D108" s="64">
        <f t="shared" si="11"/>
        <v>0</v>
      </c>
      <c r="E108" s="64">
        <f t="shared" si="12"/>
        <v>0</v>
      </c>
      <c r="F108" s="64">
        <f t="shared" si="13"/>
        <v>1.6666666666666667</v>
      </c>
      <c r="G108" s="64">
        <f t="shared" si="14"/>
        <v>0</v>
      </c>
      <c r="H108" s="80">
        <f t="shared" si="15"/>
        <v>3</v>
      </c>
      <c r="O108" s="170"/>
      <c r="P108" s="170"/>
      <c r="Q108" s="170"/>
      <c r="R108" s="170"/>
      <c r="S108" s="170"/>
      <c r="T108" s="170"/>
    </row>
    <row r="109" spans="2:20">
      <c r="B109" s="66" t="str">
        <f t="shared" si="9"/>
        <v>Brazil</v>
      </c>
      <c r="C109" s="54">
        <f t="shared" si="10"/>
        <v>0</v>
      </c>
      <c r="D109" s="54">
        <f t="shared" si="11"/>
        <v>1</v>
      </c>
      <c r="E109" s="54">
        <f t="shared" si="12"/>
        <v>0</v>
      </c>
      <c r="F109" s="54">
        <f t="shared" si="13"/>
        <v>0</v>
      </c>
      <c r="G109" s="54">
        <f t="shared" si="14"/>
        <v>0</v>
      </c>
      <c r="H109" s="79">
        <f t="shared" si="15"/>
        <v>3</v>
      </c>
    </row>
    <row r="110" spans="2:20">
      <c r="B110" s="63" t="str">
        <f t="shared" si="9"/>
        <v>..</v>
      </c>
      <c r="C110" s="64" t="str">
        <f>IFERROR(C93/$H$93,"..")</f>
        <v>..</v>
      </c>
      <c r="D110" s="64" t="str">
        <f>IFERROR(D93/$H$93,"..")</f>
        <v>..</v>
      </c>
      <c r="E110" s="64" t="str">
        <f>IFERROR(E93/$H$93,"..")</f>
        <v>..</v>
      </c>
      <c r="F110" s="64" t="str">
        <f>IFERROR(F93/$H$93,"..")</f>
        <v>..</v>
      </c>
      <c r="G110" s="64" t="str">
        <f>IFERROR(G93/$H$93,"..")</f>
        <v>..</v>
      </c>
      <c r="H110" s="80" t="str">
        <f t="shared" si="15"/>
        <v>..</v>
      </c>
    </row>
    <row r="111" spans="2:20">
      <c r="B111" s="81" t="str">
        <f t="shared" si="9"/>
        <v>..</v>
      </c>
      <c r="C111" s="82" t="str">
        <f t="shared" ref="C111:H111" si="16">IFERROR(C94/$H$94,"..")</f>
        <v>..</v>
      </c>
      <c r="D111" s="82" t="str">
        <f t="shared" si="16"/>
        <v>..</v>
      </c>
      <c r="E111" s="82" t="str">
        <f t="shared" si="16"/>
        <v>..</v>
      </c>
      <c r="F111" s="82" t="str">
        <f t="shared" si="16"/>
        <v>..</v>
      </c>
      <c r="G111" s="82" t="str">
        <f t="shared" si="16"/>
        <v>..</v>
      </c>
      <c r="H111" s="83" t="str">
        <f t="shared" si="16"/>
        <v>..</v>
      </c>
    </row>
    <row r="112" spans="2:20">
      <c r="B112" s="72" t="s">
        <v>30</v>
      </c>
      <c r="C112" s="73">
        <f>IFERROR(C95/H95,"-")</f>
        <v>0.47826086956521741</v>
      </c>
      <c r="D112" s="73">
        <f>IFERROR(D95/H95,"-")</f>
        <v>0.17391304347826086</v>
      </c>
      <c r="E112" s="73">
        <f>IFERROR(E95/H95,"-")</f>
        <v>0.13043478260869565</v>
      </c>
      <c r="F112" s="73">
        <f>IFERROR(F95/H95,"-")</f>
        <v>0</v>
      </c>
      <c r="G112" s="73">
        <f>IFERROR(G95/H95,"-")</f>
        <v>0</v>
      </c>
      <c r="H112" s="171">
        <f>H95</f>
        <v>23</v>
      </c>
    </row>
    <row r="113" spans="2:8">
      <c r="B113" s="75" t="s">
        <v>31</v>
      </c>
      <c r="C113" s="76">
        <f>IFERROR(C96/H96,"-")</f>
        <v>8.3333333333333329E-2</v>
      </c>
      <c r="D113" s="76">
        <f>IFERROR(D96/H96,"-")</f>
        <v>6.25E-2</v>
      </c>
      <c r="E113" s="76">
        <f>IFERROR(E96/H96,"-")</f>
        <v>0.16666666666666666</v>
      </c>
      <c r="F113" s="76">
        <f>IFERROR(F96/H96,"-")</f>
        <v>0.52083333333333337</v>
      </c>
      <c r="G113" s="76">
        <f>IFERROR(G96/H96,"-")</f>
        <v>0.10416666666666667</v>
      </c>
      <c r="H113" s="172">
        <f>H96</f>
        <v>48</v>
      </c>
    </row>
    <row r="115" spans="2:8" ht="23.25">
      <c r="B115" s="127" t="s">
        <v>769</v>
      </c>
    </row>
    <row r="116" spans="2:8" ht="15.75">
      <c r="B116" s="150" t="s">
        <v>330</v>
      </c>
    </row>
    <row r="117" spans="2:8" ht="25.5">
      <c r="B117" s="173" t="s">
        <v>36</v>
      </c>
      <c r="C117" s="173" t="s">
        <v>37</v>
      </c>
      <c r="D117" s="173" t="s">
        <v>38</v>
      </c>
      <c r="E117" s="173" t="s">
        <v>6</v>
      </c>
      <c r="F117" s="173" t="s">
        <v>39</v>
      </c>
      <c r="G117" s="173" t="s">
        <v>7</v>
      </c>
      <c r="H117" s="173" t="s">
        <v>40</v>
      </c>
    </row>
    <row r="118" spans="2:8">
      <c r="B118" s="155" t="s">
        <v>95</v>
      </c>
      <c r="C118" s="103">
        <v>997</v>
      </c>
      <c r="D118" s="103">
        <v>1023</v>
      </c>
      <c r="E118" s="103">
        <v>2019</v>
      </c>
      <c r="F118" s="224">
        <f>IFERROR(Table792226894100[[#This Row],[Persons]]/$C$23,"..")</f>
        <v>0.97819767441860461</v>
      </c>
      <c r="G118" s="103" t="s">
        <v>94</v>
      </c>
      <c r="H118" s="64" t="str">
        <f t="shared" ref="H118:H128" si="17">IFERROR(((E118-G118)/G118),"..")</f>
        <v>..</v>
      </c>
    </row>
    <row r="119" spans="2:8">
      <c r="B119" s="158" t="s">
        <v>147</v>
      </c>
      <c r="C119" s="106">
        <v>8</v>
      </c>
      <c r="D119" s="106">
        <v>6</v>
      </c>
      <c r="E119" s="106">
        <v>12</v>
      </c>
      <c r="F119" s="226">
        <f>IFERROR(Table792226894100[[#This Row],[Persons]]/$C$23,"..")</f>
        <v>5.8139534883720929E-3</v>
      </c>
      <c r="G119" s="106" t="s">
        <v>94</v>
      </c>
      <c r="H119" s="54" t="str">
        <f t="shared" si="17"/>
        <v>..</v>
      </c>
    </row>
    <row r="120" spans="2:8">
      <c r="B120" s="155" t="s">
        <v>54</v>
      </c>
      <c r="C120" s="103">
        <v>6</v>
      </c>
      <c r="D120" s="103">
        <v>0</v>
      </c>
      <c r="E120" s="103">
        <v>9</v>
      </c>
      <c r="F120" s="224">
        <f>IFERROR(Table792226894100[[#This Row],[Persons]]/$C$23,"..")</f>
        <v>4.3604651162790697E-3</v>
      </c>
      <c r="G120" s="103" t="s">
        <v>94</v>
      </c>
      <c r="H120" s="64" t="str">
        <f t="shared" si="17"/>
        <v>..</v>
      </c>
    </row>
    <row r="121" spans="2:8">
      <c r="B121" s="158" t="s">
        <v>100</v>
      </c>
      <c r="C121" s="106">
        <v>3</v>
      </c>
      <c r="D121" s="106">
        <v>0</v>
      </c>
      <c r="E121" s="106">
        <v>8</v>
      </c>
      <c r="F121" s="226">
        <f>IFERROR(Table792226894100[[#This Row],[Persons]]/$C$23,"..")</f>
        <v>3.875968992248062E-3</v>
      </c>
      <c r="G121" s="106" t="s">
        <v>94</v>
      </c>
      <c r="H121" s="54" t="str">
        <f t="shared" si="17"/>
        <v>..</v>
      </c>
    </row>
    <row r="122" spans="2:8">
      <c r="B122" s="155" t="s">
        <v>113</v>
      </c>
      <c r="C122" s="103">
        <v>0</v>
      </c>
      <c r="D122" s="103">
        <v>0</v>
      </c>
      <c r="E122" s="103">
        <v>5</v>
      </c>
      <c r="F122" s="224">
        <f>IFERROR(Table792226894100[[#This Row],[Persons]]/$C$23,"..")</f>
        <v>2.4224806201550387E-3</v>
      </c>
      <c r="G122" s="103" t="s">
        <v>94</v>
      </c>
      <c r="H122" s="64" t="str">
        <f t="shared" si="17"/>
        <v>..</v>
      </c>
    </row>
    <row r="123" spans="2:8">
      <c r="B123" s="158" t="s">
        <v>102</v>
      </c>
      <c r="C123" s="106">
        <v>4</v>
      </c>
      <c r="D123" s="106">
        <v>0</v>
      </c>
      <c r="E123" s="106">
        <v>5</v>
      </c>
      <c r="F123" s="226">
        <f>IFERROR(Table792226894100[[#This Row],[Persons]]/$C$23,"..")</f>
        <v>2.4224806201550387E-3</v>
      </c>
      <c r="G123" s="106" t="s">
        <v>94</v>
      </c>
      <c r="H123" s="54" t="str">
        <f t="shared" si="17"/>
        <v>..</v>
      </c>
    </row>
    <row r="124" spans="2:8">
      <c r="B124" s="155" t="s">
        <v>107</v>
      </c>
      <c r="C124" s="103">
        <v>0</v>
      </c>
      <c r="D124" s="103">
        <v>0</v>
      </c>
      <c r="E124" s="103">
        <v>4</v>
      </c>
      <c r="F124" s="224">
        <f>IFERROR(Table792226894100[[#This Row],[Persons]]/$C$23,"..")</f>
        <v>1.937984496124031E-3</v>
      </c>
      <c r="G124" s="103" t="s">
        <v>94</v>
      </c>
      <c r="H124" s="64" t="str">
        <f t="shared" si="17"/>
        <v>..</v>
      </c>
    </row>
    <row r="125" spans="2:8">
      <c r="B125" s="158" t="s">
        <v>52</v>
      </c>
      <c r="C125" s="106">
        <v>0</v>
      </c>
      <c r="D125" s="106">
        <v>0</v>
      </c>
      <c r="E125" s="106">
        <v>3</v>
      </c>
      <c r="F125" s="226">
        <f>IFERROR(Table792226894100[[#This Row],[Persons]]/$C$23,"..")</f>
        <v>1.4534883720930232E-3</v>
      </c>
      <c r="G125" s="106" t="s">
        <v>94</v>
      </c>
      <c r="H125" s="54" t="str">
        <f t="shared" si="17"/>
        <v>..</v>
      </c>
    </row>
    <row r="126" spans="2:8">
      <c r="B126" s="155" t="s">
        <v>94</v>
      </c>
      <c r="C126" s="103" t="s">
        <v>94</v>
      </c>
      <c r="D126" s="103" t="s">
        <v>94</v>
      </c>
      <c r="E126" s="103" t="s">
        <v>94</v>
      </c>
      <c r="F126" s="224" t="str">
        <f>IFERROR(Table792226894100[[#This Row],[Persons]]/$C$23,"..")</f>
        <v>..</v>
      </c>
      <c r="G126" s="103" t="s">
        <v>94</v>
      </c>
      <c r="H126" s="64" t="str">
        <f>IFERROR(((E126-G126)/G126),"..")</f>
        <v>..</v>
      </c>
    </row>
    <row r="127" spans="2:8">
      <c r="B127" s="158" t="s">
        <v>94</v>
      </c>
      <c r="C127" s="106" t="s">
        <v>94</v>
      </c>
      <c r="D127" s="106" t="s">
        <v>94</v>
      </c>
      <c r="E127" s="106" t="s">
        <v>94</v>
      </c>
      <c r="F127" s="226" t="str">
        <f>IFERROR(Table792226894100[[#This Row],[Persons]]/$C$23,"..")</f>
        <v>..</v>
      </c>
      <c r="G127" s="106" t="s">
        <v>94</v>
      </c>
      <c r="H127" s="54" t="str">
        <f>IFERROR(((E127-G127)/G127),"..")</f>
        <v>..</v>
      </c>
    </row>
    <row r="128" spans="2:8">
      <c r="B128" s="158" t="s">
        <v>127</v>
      </c>
      <c r="C128" s="106">
        <f>Table792226894100[[#Totals],[Males]]-SUM(C118:C127)</f>
        <v>4</v>
      </c>
      <c r="D128" s="106">
        <f>Table792226894100[[#Totals],[Females]]-SUM(D118:D127)</f>
        <v>13</v>
      </c>
      <c r="E128" s="106">
        <f>Table792226894100[[#Totals],[Persons]]-SUM(E118:E127)</f>
        <v>-1</v>
      </c>
      <c r="F128" s="226">
        <f>IFERROR(Table792226894100[[#This Row],[Persons]]/$C$23,"..")</f>
        <v>-4.8449612403100775E-4</v>
      </c>
      <c r="G128" s="106" t="s">
        <v>94</v>
      </c>
      <c r="H128" s="54" t="str">
        <f t="shared" si="17"/>
        <v>..</v>
      </c>
    </row>
    <row r="129" spans="2:9">
      <c r="B129" s="284" t="s">
        <v>872</v>
      </c>
      <c r="C129" s="175" t="s">
        <v>229</v>
      </c>
      <c r="D129" s="175" t="s">
        <v>230</v>
      </c>
      <c r="E129" s="176" t="s">
        <v>231</v>
      </c>
      <c r="F129" s="177" t="s">
        <v>22</v>
      </c>
      <c r="G129" s="176">
        <f>E23</f>
        <v>2032</v>
      </c>
      <c r="H129" s="603">
        <f>(Table792226894100[[#Totals],[Persons]]-Table792226894100[[#Totals],[2011 Census]])/Table792226894100[[#Totals],[2011 Census]]</f>
        <v>1.5748031496062992E-2</v>
      </c>
    </row>
    <row r="130" spans="2:9">
      <c r="B130" s="389" t="s">
        <v>873</v>
      </c>
      <c r="C130" s="180"/>
      <c r="D130" s="180"/>
      <c r="E130" s="180"/>
      <c r="F130" s="181"/>
      <c r="G130" s="180"/>
      <c r="H130" s="180"/>
      <c r="I130" s="182"/>
    </row>
    <row r="131" spans="2:9">
      <c r="B131" s="183"/>
      <c r="C131" s="183"/>
      <c r="D131" s="183"/>
      <c r="E131" s="183"/>
      <c r="F131" s="174"/>
      <c r="G131" s="553"/>
      <c r="H131" s="183"/>
      <c r="I131" s="183"/>
    </row>
    <row r="132" spans="2:9" ht="23.25">
      <c r="B132" s="127" t="s">
        <v>770</v>
      </c>
    </row>
    <row r="133" spans="2:9" ht="15.75">
      <c r="B133" s="150" t="s">
        <v>825</v>
      </c>
    </row>
    <row r="134" spans="2:9">
      <c r="B134" s="992" t="s">
        <v>36</v>
      </c>
      <c r="C134" s="993" t="s">
        <v>42</v>
      </c>
      <c r="D134" s="993" t="s">
        <v>43</v>
      </c>
      <c r="E134" s="993" t="s">
        <v>44</v>
      </c>
      <c r="F134" s="993" t="s">
        <v>45</v>
      </c>
      <c r="G134" s="993" t="s">
        <v>46</v>
      </c>
      <c r="H134" s="544" t="s">
        <v>28</v>
      </c>
    </row>
    <row r="135" spans="2:9">
      <c r="B135" s="185" t="s">
        <v>95</v>
      </c>
      <c r="C135" s="186"/>
      <c r="D135" s="186"/>
      <c r="E135" s="186"/>
      <c r="F135" s="186"/>
      <c r="G135" s="186"/>
      <c r="H135" s="187"/>
    </row>
    <row r="136" spans="2:9">
      <c r="B136" s="188" t="s">
        <v>48</v>
      </c>
      <c r="C136" s="238">
        <v>429</v>
      </c>
      <c r="D136" s="238">
        <v>326</v>
      </c>
      <c r="E136" s="238">
        <v>593</v>
      </c>
      <c r="F136" s="238">
        <v>403</v>
      </c>
      <c r="G136" s="238">
        <v>60</v>
      </c>
      <c r="H136" s="554">
        <v>1819</v>
      </c>
    </row>
    <row r="137" spans="2:9">
      <c r="B137" s="191" t="s">
        <v>49</v>
      </c>
      <c r="C137" s="241">
        <v>70</v>
      </c>
      <c r="D137" s="241">
        <v>3</v>
      </c>
      <c r="E137" s="241">
        <v>8</v>
      </c>
      <c r="F137" s="241">
        <v>14</v>
      </c>
      <c r="G137" s="241">
        <v>3</v>
      </c>
      <c r="H137" s="203">
        <v>98</v>
      </c>
    </row>
    <row r="138" spans="2:9">
      <c r="B138" s="188" t="s">
        <v>50</v>
      </c>
      <c r="C138" s="238">
        <v>524</v>
      </c>
      <c r="D138" s="238">
        <v>348</v>
      </c>
      <c r="E138" s="238">
        <v>632</v>
      </c>
      <c r="F138" s="238">
        <v>437</v>
      </c>
      <c r="G138" s="238">
        <v>78</v>
      </c>
      <c r="H138" s="554">
        <v>2019</v>
      </c>
    </row>
    <row r="139" spans="2:9">
      <c r="B139" s="194" t="s">
        <v>51</v>
      </c>
      <c r="C139" s="96">
        <f>IFERROR(C137/H138,"-")</f>
        <v>3.4670629024269442E-2</v>
      </c>
      <c r="D139" s="96">
        <f>IFERROR(D137/$H$138,"-")</f>
        <v>1.4858841010401188E-3</v>
      </c>
      <c r="E139" s="96">
        <f>IFERROR(E137/$H$138,"-")</f>
        <v>3.9623576027736501E-3</v>
      </c>
      <c r="F139" s="96">
        <f>IFERROR(F137/$H$138,"-")</f>
        <v>6.9341258048538877E-3</v>
      </c>
      <c r="G139" s="96">
        <f>IFERROR(G137/$H$138,"-")</f>
        <v>1.4858841010401188E-3</v>
      </c>
      <c r="H139" s="97">
        <f>IFERROR(H137/$H$138,"-")</f>
        <v>4.8538880633977217E-2</v>
      </c>
    </row>
    <row r="140" spans="2:9">
      <c r="B140" s="195" t="s">
        <v>147</v>
      </c>
      <c r="C140" s="196"/>
      <c r="D140" s="196"/>
      <c r="E140" s="196"/>
      <c r="F140" s="196"/>
      <c r="G140" s="196"/>
      <c r="H140" s="197"/>
    </row>
    <row r="141" spans="2:9">
      <c r="B141" s="191" t="s">
        <v>48</v>
      </c>
      <c r="C141" s="241">
        <v>3</v>
      </c>
      <c r="D141" s="241">
        <v>0</v>
      </c>
      <c r="E141" s="241">
        <v>3</v>
      </c>
      <c r="F141" s="241">
        <v>3</v>
      </c>
      <c r="G141" s="241">
        <v>0</v>
      </c>
      <c r="H141" s="203">
        <v>12</v>
      </c>
    </row>
    <row r="142" spans="2:9">
      <c r="B142" s="188" t="s">
        <v>49</v>
      </c>
      <c r="C142" s="238"/>
      <c r="D142" s="238"/>
      <c r="E142" s="238"/>
      <c r="F142" s="238"/>
      <c r="G142" s="238"/>
      <c r="H142" s="554"/>
    </row>
    <row r="143" spans="2:9">
      <c r="B143" s="191" t="s">
        <v>50</v>
      </c>
      <c r="C143" s="241">
        <v>3</v>
      </c>
      <c r="D143" s="241">
        <v>0</v>
      </c>
      <c r="E143" s="241">
        <v>3</v>
      </c>
      <c r="F143" s="241">
        <v>3</v>
      </c>
      <c r="G143" s="241">
        <v>0</v>
      </c>
      <c r="H143" s="203">
        <v>12</v>
      </c>
    </row>
    <row r="144" spans="2:9">
      <c r="B144" s="202" t="s">
        <v>51</v>
      </c>
      <c r="C144" s="101">
        <f t="shared" ref="C144:H144" si="18">IFERROR(C142/$H$143,"-")</f>
        <v>0</v>
      </c>
      <c r="D144" s="101">
        <f t="shared" si="18"/>
        <v>0</v>
      </c>
      <c r="E144" s="101">
        <f t="shared" si="18"/>
        <v>0</v>
      </c>
      <c r="F144" s="101">
        <f t="shared" si="18"/>
        <v>0</v>
      </c>
      <c r="G144" s="101">
        <f t="shared" si="18"/>
        <v>0</v>
      </c>
      <c r="H144" s="99">
        <f t="shared" si="18"/>
        <v>0</v>
      </c>
    </row>
    <row r="145" spans="2:8">
      <c r="B145" s="185" t="s">
        <v>102</v>
      </c>
      <c r="C145" s="186"/>
      <c r="D145" s="186"/>
      <c r="E145" s="186"/>
      <c r="F145" s="186"/>
      <c r="G145" s="186"/>
      <c r="H145" s="203"/>
    </row>
    <row r="146" spans="2:8">
      <c r="B146" s="188" t="s">
        <v>48</v>
      </c>
      <c r="C146" s="238">
        <v>0</v>
      </c>
      <c r="D146" s="238">
        <v>0</v>
      </c>
      <c r="E146" s="238">
        <v>3</v>
      </c>
      <c r="F146" s="239">
        <v>0</v>
      </c>
      <c r="G146" s="434">
        <v>0</v>
      </c>
      <c r="H146" s="554">
        <v>5</v>
      </c>
    </row>
    <row r="147" spans="2:8">
      <c r="B147" s="191" t="s">
        <v>49</v>
      </c>
      <c r="C147" s="241"/>
      <c r="D147" s="241"/>
      <c r="E147" s="241"/>
      <c r="F147" s="242"/>
      <c r="G147" s="241"/>
      <c r="H147" s="203"/>
    </row>
    <row r="148" spans="2:8">
      <c r="B148" s="188" t="s">
        <v>50</v>
      </c>
      <c r="C148" s="238">
        <v>0</v>
      </c>
      <c r="D148" s="238">
        <v>0</v>
      </c>
      <c r="E148" s="238">
        <v>3</v>
      </c>
      <c r="F148" s="238">
        <v>0</v>
      </c>
      <c r="G148" s="435">
        <v>0</v>
      </c>
      <c r="H148" s="554">
        <v>5</v>
      </c>
    </row>
    <row r="149" spans="2:8">
      <c r="B149" s="194" t="s">
        <v>51</v>
      </c>
      <c r="C149" s="96">
        <f t="shared" ref="C149:H149" si="19">IFERROR(C147/$H$148,"-")</f>
        <v>0</v>
      </c>
      <c r="D149" s="96">
        <f t="shared" si="19"/>
        <v>0</v>
      </c>
      <c r="E149" s="96">
        <f t="shared" si="19"/>
        <v>0</v>
      </c>
      <c r="F149" s="96">
        <f t="shared" si="19"/>
        <v>0</v>
      </c>
      <c r="G149" s="96">
        <f t="shared" si="19"/>
        <v>0</v>
      </c>
      <c r="H149" s="97">
        <f t="shared" si="19"/>
        <v>0</v>
      </c>
    </row>
    <row r="150" spans="2:8">
      <c r="B150" s="195"/>
      <c r="C150" s="196"/>
      <c r="D150" s="196"/>
      <c r="E150" s="196"/>
      <c r="F150" s="196"/>
      <c r="G150" s="196"/>
      <c r="H150" s="197"/>
    </row>
    <row r="151" spans="2:8">
      <c r="B151" s="191" t="s">
        <v>48</v>
      </c>
      <c r="C151" s="241"/>
      <c r="D151" s="241"/>
      <c r="E151" s="241"/>
      <c r="F151" s="241"/>
      <c r="G151" s="241"/>
      <c r="H151" s="203"/>
    </row>
    <row r="152" spans="2:8">
      <c r="B152" s="188" t="s">
        <v>49</v>
      </c>
      <c r="C152" s="238"/>
      <c r="D152" s="238"/>
      <c r="E152" s="238"/>
      <c r="F152" s="238"/>
      <c r="G152" s="238"/>
      <c r="H152" s="554"/>
    </row>
    <row r="153" spans="2:8">
      <c r="B153" s="191" t="s">
        <v>50</v>
      </c>
      <c r="C153" s="241"/>
      <c r="D153" s="241"/>
      <c r="E153" s="241"/>
      <c r="F153" s="241"/>
      <c r="G153" s="241"/>
      <c r="H153" s="203"/>
    </row>
    <row r="154" spans="2:8">
      <c r="B154" s="202" t="s">
        <v>51</v>
      </c>
      <c r="C154" s="98" t="str">
        <f t="shared" ref="C154:H154" si="20">IFERROR(C152/$H$153,"-")</f>
        <v>-</v>
      </c>
      <c r="D154" s="98" t="str">
        <f t="shared" si="20"/>
        <v>-</v>
      </c>
      <c r="E154" s="98" t="str">
        <f t="shared" si="20"/>
        <v>-</v>
      </c>
      <c r="F154" s="98" t="str">
        <f t="shared" si="20"/>
        <v>-</v>
      </c>
      <c r="G154" s="98" t="str">
        <f t="shared" si="20"/>
        <v>-</v>
      </c>
      <c r="H154" s="100" t="str">
        <f t="shared" si="20"/>
        <v>-</v>
      </c>
    </row>
    <row r="155" spans="2:8">
      <c r="B155" s="185"/>
      <c r="C155" s="186"/>
      <c r="D155" s="186"/>
      <c r="E155" s="186"/>
      <c r="F155" s="186"/>
      <c r="G155" s="186"/>
      <c r="H155" s="187"/>
    </row>
    <row r="156" spans="2:8">
      <c r="B156" s="188" t="s">
        <v>48</v>
      </c>
      <c r="C156" s="238"/>
      <c r="D156" s="238"/>
      <c r="E156" s="238"/>
      <c r="F156" s="238"/>
      <c r="G156" s="238"/>
      <c r="H156" s="554"/>
    </row>
    <row r="157" spans="2:8">
      <c r="B157" s="191" t="s">
        <v>49</v>
      </c>
      <c r="C157" s="241"/>
      <c r="D157" s="241"/>
      <c r="E157" s="241"/>
      <c r="F157" s="241"/>
      <c r="G157" s="241"/>
      <c r="H157" s="203"/>
    </row>
    <row r="158" spans="2:8">
      <c r="B158" s="188" t="s">
        <v>50</v>
      </c>
      <c r="C158" s="238"/>
      <c r="D158" s="238"/>
      <c r="E158" s="238"/>
      <c r="F158" s="238"/>
      <c r="G158" s="238"/>
      <c r="H158" s="554"/>
    </row>
    <row r="159" spans="2:8">
      <c r="B159" s="194" t="s">
        <v>51</v>
      </c>
      <c r="C159" s="96" t="str">
        <f t="shared" ref="C159:H159" si="21">IFERROR(C157/$H$158,"-")</f>
        <v>-</v>
      </c>
      <c r="D159" s="96" t="str">
        <f t="shared" si="21"/>
        <v>-</v>
      </c>
      <c r="E159" s="96" t="str">
        <f t="shared" si="21"/>
        <v>-</v>
      </c>
      <c r="F159" s="96" t="str">
        <f t="shared" si="21"/>
        <v>-</v>
      </c>
      <c r="G159" s="96" t="str">
        <f t="shared" si="21"/>
        <v>-</v>
      </c>
      <c r="H159" s="97" t="str">
        <f t="shared" si="21"/>
        <v>-</v>
      </c>
    </row>
    <row r="160" spans="2:8">
      <c r="B160" s="195" t="s">
        <v>114</v>
      </c>
      <c r="C160" s="196"/>
      <c r="D160" s="196"/>
      <c r="E160" s="196"/>
      <c r="F160" s="196"/>
      <c r="G160" s="196"/>
      <c r="H160" s="197"/>
    </row>
    <row r="161" spans="2:10">
      <c r="B161" s="191" t="s">
        <v>48</v>
      </c>
      <c r="C161" s="241">
        <v>434</v>
      </c>
      <c r="D161" s="241">
        <v>331</v>
      </c>
      <c r="E161" s="241">
        <v>601</v>
      </c>
      <c r="F161" s="241">
        <v>416</v>
      </c>
      <c r="G161" s="241">
        <v>68</v>
      </c>
      <c r="H161" s="208">
        <v>1835</v>
      </c>
    </row>
    <row r="162" spans="2:10">
      <c r="B162" s="188" t="s">
        <v>49</v>
      </c>
      <c r="C162" s="238">
        <v>67</v>
      </c>
      <c r="D162" s="238">
        <v>3</v>
      </c>
      <c r="E162" s="238">
        <v>8</v>
      </c>
      <c r="F162" s="238">
        <v>14</v>
      </c>
      <c r="G162" s="238">
        <v>3</v>
      </c>
      <c r="H162" s="554">
        <v>99</v>
      </c>
    </row>
    <row r="163" spans="2:10">
      <c r="B163" s="191" t="s">
        <v>50</v>
      </c>
      <c r="C163" s="241">
        <v>528</v>
      </c>
      <c r="D163" s="241">
        <v>353</v>
      </c>
      <c r="E163" s="241">
        <v>639</v>
      </c>
      <c r="F163" s="241">
        <v>445</v>
      </c>
      <c r="G163" s="241">
        <v>77</v>
      </c>
      <c r="H163" s="208">
        <v>2042</v>
      </c>
    </row>
    <row r="164" spans="2:10">
      <c r="B164" s="202" t="s">
        <v>51</v>
      </c>
      <c r="C164" s="101">
        <f>IFERROR(C162/$H$163,"-")</f>
        <v>3.2810969637610189E-2</v>
      </c>
      <c r="D164" s="101">
        <f t="shared" ref="D164:H164" si="22">IFERROR(D162/$H$163,"-")</f>
        <v>1.4691478942213516E-3</v>
      </c>
      <c r="E164" s="101">
        <f t="shared" si="22"/>
        <v>3.9177277179236044E-3</v>
      </c>
      <c r="F164" s="101">
        <f t="shared" si="22"/>
        <v>6.8560235063663075E-3</v>
      </c>
      <c r="G164" s="101">
        <f t="shared" si="22"/>
        <v>1.4691478942213516E-3</v>
      </c>
      <c r="H164" s="99">
        <f t="shared" si="22"/>
        <v>4.8481880509304603E-2</v>
      </c>
    </row>
    <row r="166" spans="2:10" ht="23.25">
      <c r="B166" s="127" t="s">
        <v>771</v>
      </c>
    </row>
    <row r="167" spans="2:10" ht="15.75">
      <c r="B167" s="150" t="s">
        <v>826</v>
      </c>
      <c r="J167" s="555"/>
    </row>
    <row r="168" spans="2:10" ht="25.5">
      <c r="B168" s="684"/>
      <c r="C168" s="1234" t="s">
        <v>125</v>
      </c>
      <c r="D168" s="1234"/>
      <c r="E168" s="1234"/>
      <c r="F168" s="1238"/>
      <c r="G168" s="607" t="s">
        <v>10</v>
      </c>
      <c r="H168" s="212" t="s">
        <v>58</v>
      </c>
      <c r="I168" s="213" t="s">
        <v>70</v>
      </c>
    </row>
    <row r="169" spans="2:10" ht="63.75">
      <c r="B169" s="560" t="s">
        <v>879</v>
      </c>
      <c r="C169" s="214" t="s">
        <v>61</v>
      </c>
      <c r="D169" s="214" t="s">
        <v>60</v>
      </c>
      <c r="E169" s="214" t="s">
        <v>59</v>
      </c>
      <c r="F169" s="609" t="s">
        <v>848</v>
      </c>
      <c r="G169" s="214" t="s">
        <v>122</v>
      </c>
      <c r="H169" s="214" t="s">
        <v>640</v>
      </c>
      <c r="I169" s="215" t="s">
        <v>742</v>
      </c>
    </row>
    <row r="170" spans="2:10">
      <c r="B170" s="685" t="s">
        <v>118</v>
      </c>
      <c r="C170" s="686">
        <v>1985</v>
      </c>
      <c r="D170" s="686">
        <v>0</v>
      </c>
      <c r="E170" s="686">
        <v>4</v>
      </c>
      <c r="F170" s="686">
        <v>25</v>
      </c>
      <c r="G170" s="686">
        <v>0</v>
      </c>
      <c r="H170" s="686">
        <v>0</v>
      </c>
      <c r="I170" s="687">
        <v>2020</v>
      </c>
    </row>
    <row r="171" spans="2:10">
      <c r="B171" s="685" t="s">
        <v>116</v>
      </c>
      <c r="C171" s="686">
        <v>157</v>
      </c>
      <c r="D171" s="686">
        <v>4</v>
      </c>
      <c r="E171" s="686">
        <v>15</v>
      </c>
      <c r="F171" s="686">
        <v>0</v>
      </c>
      <c r="G171" s="686">
        <v>0</v>
      </c>
      <c r="H171" s="686">
        <v>0</v>
      </c>
      <c r="I171" s="687">
        <v>176</v>
      </c>
    </row>
    <row r="172" spans="2:10">
      <c r="B172" s="685" t="s">
        <v>115</v>
      </c>
      <c r="C172" s="686">
        <v>58</v>
      </c>
      <c r="D172" s="686">
        <v>0</v>
      </c>
      <c r="E172" s="686">
        <v>12</v>
      </c>
      <c r="F172" s="686">
        <v>0</v>
      </c>
      <c r="G172" s="686">
        <v>18</v>
      </c>
      <c r="H172" s="686">
        <v>0</v>
      </c>
      <c r="I172" s="687">
        <v>85</v>
      </c>
    </row>
    <row r="173" spans="2:10">
      <c r="B173" s="685" t="s">
        <v>117</v>
      </c>
      <c r="C173" s="686">
        <v>31</v>
      </c>
      <c r="D173" s="686">
        <v>0</v>
      </c>
      <c r="E173" s="686">
        <v>0</v>
      </c>
      <c r="F173" s="686">
        <v>0</v>
      </c>
      <c r="G173" s="686">
        <v>8</v>
      </c>
      <c r="H173" s="686">
        <v>0</v>
      </c>
      <c r="I173" s="687">
        <v>33</v>
      </c>
    </row>
    <row r="174" spans="2:10">
      <c r="B174" s="685" t="s">
        <v>119</v>
      </c>
      <c r="C174" s="686">
        <v>19</v>
      </c>
      <c r="D174" s="686">
        <v>0</v>
      </c>
      <c r="E174" s="686">
        <v>0</v>
      </c>
      <c r="F174" s="686">
        <v>0</v>
      </c>
      <c r="G174" s="686">
        <v>4</v>
      </c>
      <c r="H174" s="686">
        <v>0</v>
      </c>
      <c r="I174" s="687">
        <v>25</v>
      </c>
    </row>
    <row r="175" spans="2:10">
      <c r="B175" s="685" t="s">
        <v>244</v>
      </c>
      <c r="C175" s="686">
        <v>9</v>
      </c>
      <c r="D175" s="686">
        <v>0</v>
      </c>
      <c r="E175" s="686">
        <v>0</v>
      </c>
      <c r="F175" s="686">
        <v>0</v>
      </c>
      <c r="G175" s="686">
        <v>0</v>
      </c>
      <c r="H175" s="686">
        <v>0</v>
      </c>
      <c r="I175" s="687">
        <v>9</v>
      </c>
    </row>
    <row r="176" spans="2:10">
      <c r="B176" s="685" t="s">
        <v>108</v>
      </c>
      <c r="C176" s="686">
        <v>9</v>
      </c>
      <c r="D176" s="686">
        <v>0</v>
      </c>
      <c r="E176" s="686">
        <v>0</v>
      </c>
      <c r="F176" s="686">
        <v>0</v>
      </c>
      <c r="G176" s="686">
        <v>0</v>
      </c>
      <c r="H176" s="686">
        <v>0</v>
      </c>
      <c r="I176" s="687">
        <v>9</v>
      </c>
    </row>
    <row r="177" spans="2:9">
      <c r="B177" s="685" t="s">
        <v>247</v>
      </c>
      <c r="C177" s="686">
        <v>0</v>
      </c>
      <c r="D177" s="686">
        <v>0</v>
      </c>
      <c r="E177" s="686">
        <v>4</v>
      </c>
      <c r="F177" s="686">
        <v>0</v>
      </c>
      <c r="G177" s="686">
        <v>6</v>
      </c>
      <c r="H177" s="686">
        <v>0</v>
      </c>
      <c r="I177" s="687">
        <v>9</v>
      </c>
    </row>
    <row r="178" spans="2:9">
      <c r="B178" s="685" t="s">
        <v>112</v>
      </c>
      <c r="C178" s="686">
        <v>0</v>
      </c>
      <c r="D178" s="686">
        <v>0</v>
      </c>
      <c r="E178" s="686">
        <v>0</v>
      </c>
      <c r="F178" s="686">
        <v>0</v>
      </c>
      <c r="G178" s="686">
        <v>0</v>
      </c>
      <c r="H178" s="686">
        <v>0</v>
      </c>
      <c r="I178" s="687">
        <v>7</v>
      </c>
    </row>
    <row r="179" spans="2:9">
      <c r="B179" s="688" t="s">
        <v>246</v>
      </c>
      <c r="C179" s="689">
        <v>0</v>
      </c>
      <c r="D179" s="689">
        <v>0</v>
      </c>
      <c r="E179" s="689">
        <v>0</v>
      </c>
      <c r="F179" s="689">
        <v>0</v>
      </c>
      <c r="G179" s="689">
        <v>0</v>
      </c>
      <c r="H179" s="689">
        <v>0</v>
      </c>
      <c r="I179" s="690">
        <v>3</v>
      </c>
    </row>
    <row r="181" spans="2:9" ht="23.25">
      <c r="B181" s="127" t="s">
        <v>772</v>
      </c>
    </row>
    <row r="182" spans="2:9" ht="15.75">
      <c r="B182" s="150" t="s">
        <v>332</v>
      </c>
    </row>
    <row r="183" spans="2:9" ht="25.5">
      <c r="B183" s="173" t="s">
        <v>64</v>
      </c>
      <c r="C183" s="222" t="s">
        <v>37</v>
      </c>
      <c r="D183" s="222" t="s">
        <v>38</v>
      </c>
      <c r="E183" s="222" t="s">
        <v>6</v>
      </c>
      <c r="F183" s="222" t="s">
        <v>1</v>
      </c>
      <c r="G183" s="223" t="s">
        <v>7</v>
      </c>
      <c r="H183" s="222" t="s">
        <v>65</v>
      </c>
      <c r="I183" s="222" t="s">
        <v>8</v>
      </c>
    </row>
    <row r="184" spans="2:9">
      <c r="B184" s="155" t="s">
        <v>150</v>
      </c>
      <c r="C184" s="103">
        <v>1014</v>
      </c>
      <c r="D184" s="103">
        <v>1068</v>
      </c>
      <c r="E184" s="103">
        <v>2083</v>
      </c>
      <c r="F184" s="224">
        <f>(Table792226811961021081141011[[#This Row],[Persons]]/$C$15)</f>
        <v>0.84951060358890707</v>
      </c>
      <c r="G184" s="228">
        <v>1770</v>
      </c>
      <c r="H184" s="103">
        <f>Table792226811961021081141011[[#This Row],[Persons]]-Table792226811961021081141011[[#This Row],[2011 Census]]</f>
        <v>313</v>
      </c>
      <c r="I184" s="64">
        <f>IFERROR((Table792226811961021081141011[[#This Row],[Persons]]-Table792226811961021081141011[[#This Row],[2011 Census]])/Table792226811961021081141011[[#This Row],[2011 Census]],"..")</f>
        <v>0.17683615819209039</v>
      </c>
    </row>
    <row r="185" spans="2:9">
      <c r="B185" s="158" t="s">
        <v>149</v>
      </c>
      <c r="C185" s="106">
        <v>74</v>
      </c>
      <c r="D185" s="106">
        <v>61</v>
      </c>
      <c r="E185" s="106">
        <v>136</v>
      </c>
      <c r="F185" s="226">
        <f>(Table792226811961021081141011[[#This Row],[Persons]]/$C$15)</f>
        <v>5.5464926590538338E-2</v>
      </c>
      <c r="G185" s="227">
        <v>154</v>
      </c>
      <c r="H185" s="106">
        <f>Table792226811961021081141011[[#This Row],[Persons]]-Table792226811961021081141011[[#This Row],[2011 Census]]</f>
        <v>-18</v>
      </c>
      <c r="I185" s="54">
        <f>IFERROR((Table792226811961021081141011[[#This Row],[Persons]]-Table792226811961021081141011[[#This Row],[2011 Census]])/Table792226811961021081141011[[#This Row],[2011 Census]],"..")</f>
        <v>-0.11688311688311688</v>
      </c>
    </row>
    <row r="186" spans="2:9">
      <c r="B186" s="155" t="s">
        <v>153</v>
      </c>
      <c r="C186" s="103">
        <v>6</v>
      </c>
      <c r="D186" s="103">
        <v>9</v>
      </c>
      <c r="E186" s="103">
        <v>18</v>
      </c>
      <c r="F186" s="224">
        <f>(Table792226811961021081141011[[#This Row],[Persons]]/$C$15)</f>
        <v>7.34094616639478E-3</v>
      </c>
      <c r="G186" s="228"/>
      <c r="H186" s="103">
        <f>Table792226811961021081141011[[#This Row],[Persons]]-Table792226811961021081141011[[#This Row],[2011 Census]]</f>
        <v>18</v>
      </c>
      <c r="I186" s="64" t="str">
        <f>IFERROR((Table792226811961021081141011[[#This Row],[Persons]]-Table792226811961021081141011[[#This Row],[2011 Census]])/Table792226811961021081141011[[#This Row],[2011 Census]],"..")</f>
        <v>..</v>
      </c>
    </row>
    <row r="187" spans="2:9">
      <c r="B187" s="158" t="s">
        <v>151</v>
      </c>
      <c r="C187" s="106">
        <v>7</v>
      </c>
      <c r="D187" s="106">
        <v>0</v>
      </c>
      <c r="E187" s="106">
        <v>12</v>
      </c>
      <c r="F187" s="226">
        <f>(Table792226811961021081141011[[#This Row],[Persons]]/$C$15)</f>
        <v>4.8939641109298528E-3</v>
      </c>
      <c r="G187" s="227">
        <v>24</v>
      </c>
      <c r="H187" s="106">
        <f>Table792226811961021081141011[[#This Row],[Persons]]-Table792226811961021081141011[[#This Row],[2011 Census]]</f>
        <v>-12</v>
      </c>
      <c r="I187" s="54">
        <f>IFERROR((Table792226811961021081141011[[#This Row],[Persons]]-Table792226811961021081141011[[#This Row],[2011 Census]])/Table792226811961021081141011[[#This Row],[2011 Census]],"..")</f>
        <v>-0.5</v>
      </c>
    </row>
    <row r="188" spans="2:9">
      <c r="B188" s="155" t="s">
        <v>164</v>
      </c>
      <c r="C188" s="103">
        <v>5</v>
      </c>
      <c r="D188" s="103">
        <v>0</v>
      </c>
      <c r="E188" s="103">
        <v>6</v>
      </c>
      <c r="F188" s="224">
        <f>(Table792226811961021081141011[[#This Row],[Persons]]/$C$15)</f>
        <v>2.4469820554649264E-3</v>
      </c>
      <c r="G188" s="228"/>
      <c r="H188" s="103">
        <f>Table792226811961021081141011[[#This Row],[Persons]]-Table792226811961021081141011[[#This Row],[2011 Census]]</f>
        <v>6</v>
      </c>
      <c r="I188" s="64" t="str">
        <f>IFERROR((Table792226811961021081141011[[#This Row],[Persons]]-Table792226811961021081141011[[#This Row],[2011 Census]])/Table792226811961021081141011[[#This Row],[2011 Census]],"..")</f>
        <v>..</v>
      </c>
    </row>
    <row r="189" spans="2:9">
      <c r="B189" s="158" t="s">
        <v>162</v>
      </c>
      <c r="C189" s="106">
        <v>4</v>
      </c>
      <c r="D189" s="106">
        <v>5</v>
      </c>
      <c r="E189" s="106">
        <v>4</v>
      </c>
      <c r="F189" s="226">
        <f>(Table792226811961021081141011[[#This Row],[Persons]]/$C$15)</f>
        <v>1.6313213703099511E-3</v>
      </c>
      <c r="G189" s="227"/>
      <c r="H189" s="106">
        <f>Table792226811961021081141011[[#This Row],[Persons]]-Table792226811961021081141011[[#This Row],[2011 Census]]</f>
        <v>4</v>
      </c>
      <c r="I189" s="54" t="str">
        <f>IFERROR((Table792226811961021081141011[[#This Row],[Persons]]-Table792226811961021081141011[[#This Row],[2011 Census]])/Table792226811961021081141011[[#This Row],[2011 Census]],"..")</f>
        <v>..</v>
      </c>
    </row>
    <row r="190" spans="2:9">
      <c r="B190" s="155" t="s">
        <v>167</v>
      </c>
      <c r="C190" s="103">
        <v>0</v>
      </c>
      <c r="D190" s="103">
        <v>0</v>
      </c>
      <c r="E190" s="103">
        <v>4</v>
      </c>
      <c r="F190" s="224">
        <f>(Table792226811961021081141011[[#This Row],[Persons]]/$C$15)</f>
        <v>1.6313213703099511E-3</v>
      </c>
      <c r="G190" s="228"/>
      <c r="H190" s="103">
        <f>Table792226811961021081141011[[#This Row],[Persons]]-Table792226811961021081141011[[#This Row],[2011 Census]]</f>
        <v>4</v>
      </c>
      <c r="I190" s="64" t="str">
        <f>IFERROR((Table792226811961021081141011[[#This Row],[Persons]]-Table792226811961021081141011[[#This Row],[2011 Census]])/Table792226811961021081141011[[#This Row],[2011 Census]],"..")</f>
        <v>..</v>
      </c>
    </row>
    <row r="191" spans="2:9">
      <c r="B191" s="158" t="s">
        <v>163</v>
      </c>
      <c r="C191" s="106">
        <v>0</v>
      </c>
      <c r="D191" s="106">
        <v>0</v>
      </c>
      <c r="E191" s="106">
        <v>4</v>
      </c>
      <c r="F191" s="226">
        <f>(Table792226811961021081141011[[#This Row],[Persons]]/$C$15)</f>
        <v>1.6313213703099511E-3</v>
      </c>
      <c r="G191" s="227"/>
      <c r="H191" s="106">
        <f>Table792226811961021081141011[[#This Row],[Persons]]-Table792226811961021081141011[[#This Row],[2011 Census]]</f>
        <v>4</v>
      </c>
      <c r="I191" s="54" t="str">
        <f>IFERROR((Table792226811961021081141011[[#This Row],[Persons]]-Table792226811961021081141011[[#This Row],[2011 Census]])/Table792226811961021081141011[[#This Row],[2011 Census]],"..")</f>
        <v>..</v>
      </c>
    </row>
    <row r="192" spans="2:9">
      <c r="B192" s="155" t="s">
        <v>154</v>
      </c>
      <c r="C192" s="103">
        <v>0</v>
      </c>
      <c r="D192" s="103">
        <v>0</v>
      </c>
      <c r="E192" s="103">
        <v>3</v>
      </c>
      <c r="F192" s="224">
        <f>(Table792226811961021081141011[[#This Row],[Persons]]/$C$15)</f>
        <v>1.2234910277324632E-3</v>
      </c>
      <c r="G192" s="228"/>
      <c r="H192" s="103">
        <f>Table792226811961021081141011[[#This Row],[Persons]]-Table792226811961021081141011[[#This Row],[2011 Census]]</f>
        <v>3</v>
      </c>
      <c r="I192" s="64" t="str">
        <f>IFERROR((Table792226811961021081141011[[#This Row],[Persons]]-Table792226811961021081141011[[#This Row],[2011 Census]])/Table792226811961021081141011[[#This Row],[2011 Census]],"..")</f>
        <v>..</v>
      </c>
    </row>
    <row r="193" spans="2:9">
      <c r="B193" s="158" t="s">
        <v>156</v>
      </c>
      <c r="C193" s="106">
        <v>3</v>
      </c>
      <c r="D193" s="106">
        <v>0</v>
      </c>
      <c r="E193" s="106">
        <v>3</v>
      </c>
      <c r="F193" s="226">
        <f>(Table792226811961021081141011[[#This Row],[Persons]]/$C$15)</f>
        <v>1.2234910277324632E-3</v>
      </c>
      <c r="G193" s="227"/>
      <c r="H193" s="106">
        <f>Table792226811961021081141011[[#This Row],[Persons]]-Table792226811961021081141011[[#This Row],[2011 Census]]</f>
        <v>3</v>
      </c>
      <c r="I193" s="54" t="str">
        <f>IFERROR((Table792226811961021081141011[[#This Row],[Persons]]-Table792226811961021081141011[[#This Row],[2011 Census]])/Table792226811961021081141011[[#This Row],[2011 Census]],"..")</f>
        <v>..</v>
      </c>
    </row>
    <row r="194" spans="2:9">
      <c r="B194" s="155" t="s">
        <v>155</v>
      </c>
      <c r="C194" s="103">
        <v>0</v>
      </c>
      <c r="D194" s="103">
        <v>5</v>
      </c>
      <c r="E194" s="103">
        <v>3</v>
      </c>
      <c r="F194" s="224">
        <f>(Table792226811961021081141011[[#This Row],[Persons]]/$C$15)</f>
        <v>1.2234910277324632E-3</v>
      </c>
      <c r="G194" s="228"/>
      <c r="H194" s="103">
        <f>Table792226811961021081141011[[#This Row],[Persons]]-Table792226811961021081141011[[#This Row],[2011 Census]]</f>
        <v>3</v>
      </c>
      <c r="I194" s="64" t="str">
        <f>IFERROR((Table792226811961021081141011[[#This Row],[Persons]]-Table792226811961021081141011[[#This Row],[2011 Census]])/Table792226811961021081141011[[#This Row],[2011 Census]],"..")</f>
        <v>..</v>
      </c>
    </row>
    <row r="195" spans="2:9">
      <c r="B195" s="158"/>
      <c r="C195" s="106"/>
      <c r="D195" s="106"/>
      <c r="E195" s="106"/>
      <c r="F195" s="226"/>
      <c r="G195" s="227"/>
      <c r="H195" s="106"/>
      <c r="I195" s="54"/>
    </row>
    <row r="196" spans="2:9">
      <c r="B196" s="155"/>
      <c r="C196" s="103"/>
      <c r="D196" s="103"/>
      <c r="E196" s="103"/>
      <c r="F196" s="224"/>
      <c r="G196" s="228"/>
      <c r="H196" s="103"/>
      <c r="I196" s="64"/>
    </row>
    <row r="197" spans="2:9">
      <c r="B197" s="158"/>
      <c r="C197" s="106"/>
      <c r="D197" s="106"/>
      <c r="E197" s="106"/>
      <c r="F197" s="226"/>
      <c r="G197" s="227"/>
      <c r="H197" s="106"/>
      <c r="I197" s="54"/>
    </row>
    <row r="198" spans="2:9">
      <c r="B198" s="158"/>
      <c r="C198" s="106"/>
      <c r="D198" s="106"/>
      <c r="E198" s="106"/>
      <c r="F198" s="226"/>
      <c r="G198" s="227"/>
      <c r="H198" s="106"/>
      <c r="I198" s="54"/>
    </row>
    <row r="199" spans="2:9">
      <c r="B199" s="158"/>
      <c r="C199" s="106"/>
      <c r="D199" s="106"/>
      <c r="E199" s="106"/>
      <c r="F199" s="226"/>
      <c r="G199" s="227"/>
      <c r="H199" s="106"/>
      <c r="I199" s="54"/>
    </row>
    <row r="200" spans="2:9">
      <c r="B200" s="158"/>
      <c r="C200" s="106"/>
      <c r="D200" s="106"/>
      <c r="E200" s="106"/>
      <c r="F200" s="226"/>
      <c r="G200" s="227"/>
      <c r="H200" s="106"/>
      <c r="I200" s="54"/>
    </row>
    <row r="201" spans="2:9">
      <c r="B201" s="158"/>
      <c r="C201" s="106"/>
      <c r="D201" s="106"/>
      <c r="E201" s="106"/>
      <c r="F201" s="226"/>
      <c r="G201" s="227"/>
      <c r="H201" s="106"/>
      <c r="I201" s="54"/>
    </row>
    <row r="202" spans="2:9">
      <c r="B202" s="158"/>
      <c r="C202" s="106"/>
      <c r="D202" s="106"/>
      <c r="E202" s="106"/>
      <c r="F202" s="226"/>
      <c r="G202" s="227"/>
      <c r="H202" s="106"/>
      <c r="I202" s="54"/>
    </row>
    <row r="203" spans="2:9">
      <c r="B203" s="158"/>
      <c r="C203" s="106"/>
      <c r="D203" s="106"/>
      <c r="E203" s="106"/>
      <c r="F203" s="226"/>
      <c r="G203" s="227"/>
      <c r="H203" s="106"/>
      <c r="I203" s="54"/>
    </row>
    <row r="204" spans="2:9">
      <c r="B204" s="155" t="s">
        <v>71</v>
      </c>
      <c r="C204" s="103">
        <v>16</v>
      </c>
      <c r="D204" s="103">
        <v>13</v>
      </c>
      <c r="E204" s="103">
        <v>31</v>
      </c>
      <c r="F204" s="224">
        <f>(Table792226811961021081141011[[#This Row],[Persons]]/$C$15)</f>
        <v>1.264274061990212E-2</v>
      </c>
      <c r="G204" s="228"/>
      <c r="H204" s="103">
        <f>Table792226811961021081141011[[#This Row],[Persons]]-Table792226811961021081141011[[#This Row],[2011 Census]]</f>
        <v>31</v>
      </c>
      <c r="I204" s="64" t="str">
        <f>IFERROR((Table792226811961021081141011[[#This Row],[Persons]]-Table792226811961021081141011[[#This Row],[2011 Census]])/Table792226811961021081141011[[#This Row],[2011 Census]],"..")</f>
        <v>..</v>
      </c>
    </row>
    <row r="205" spans="2:9">
      <c r="B205" s="158" t="s">
        <v>58</v>
      </c>
      <c r="C205" s="106">
        <v>85</v>
      </c>
      <c r="D205" s="106">
        <v>64</v>
      </c>
      <c r="E205" s="106">
        <v>144</v>
      </c>
      <c r="F205" s="226">
        <f>(Table792226811961021081141011[[#This Row],[Persons]]/$C$15)</f>
        <v>5.872756933115824E-2</v>
      </c>
      <c r="G205" s="227"/>
      <c r="H205" s="106">
        <f>Table792226811961021081141011[[#This Row],[Persons]]-Table792226811961021081141011[[#This Row],[2011 Census]]</f>
        <v>144</v>
      </c>
      <c r="I205" s="54" t="str">
        <f>IFERROR((Table792226811961021081141011[[#This Row],[Persons]]-Table792226811961021081141011[[#This Row],[2011 Census]])/Table792226811961021081141011[[#This Row],[2011 Census]],"..")</f>
        <v>..</v>
      </c>
    </row>
    <row r="206" spans="2:9" ht="15.75">
      <c r="B206" s="115" t="s">
        <v>72</v>
      </c>
      <c r="C206" s="229" t="s">
        <v>319</v>
      </c>
      <c r="D206" s="229" t="s">
        <v>320</v>
      </c>
      <c r="E206" s="116">
        <f>C15</f>
        <v>2452</v>
      </c>
      <c r="F206" s="230" t="s">
        <v>22</v>
      </c>
      <c r="G206" s="116">
        <f>E15</f>
        <v>2578</v>
      </c>
      <c r="H206" s="229">
        <f>SUM(Table792226811961021081141011[[#Totals],[Persons]]-Table792226811961021081141011[[#Totals],[2011 Census]])</f>
        <v>-126</v>
      </c>
      <c r="I206" s="231">
        <f>SUM((Table792226811961021081141011[[#Totals],[Persons]]-Table792226811961021081141011[[#Totals],[2011 Census]])/Table792226811961021081141011[[#Totals],[2011 Census]])</f>
        <v>-4.8875096974398756E-2</v>
      </c>
    </row>
    <row r="207" spans="2:9" ht="23.25">
      <c r="B207" s="127"/>
    </row>
    <row r="208" spans="2:9" ht="23.25">
      <c r="B208" s="127" t="s">
        <v>773</v>
      </c>
    </row>
    <row r="209" spans="2:10" ht="15.75">
      <c r="B209" s="150" t="s">
        <v>827</v>
      </c>
    </row>
    <row r="210" spans="2:10" ht="25.5">
      <c r="B210" s="173" t="s">
        <v>64</v>
      </c>
      <c r="C210" s="222" t="s">
        <v>66</v>
      </c>
      <c r="D210" s="222" t="s">
        <v>67</v>
      </c>
      <c r="E210" s="222" t="s">
        <v>58</v>
      </c>
      <c r="F210" s="233" t="s">
        <v>68</v>
      </c>
      <c r="G210" s="233" t="s">
        <v>24</v>
      </c>
      <c r="H210" s="233" t="s">
        <v>25</v>
      </c>
      <c r="I210" s="233" t="s">
        <v>69</v>
      </c>
      <c r="J210" s="233" t="s">
        <v>27</v>
      </c>
    </row>
    <row r="211" spans="2:10">
      <c r="B211" s="155" t="s">
        <v>150</v>
      </c>
      <c r="C211" s="103">
        <v>2058</v>
      </c>
      <c r="D211" s="103">
        <v>17</v>
      </c>
      <c r="E211" s="103">
        <v>3</v>
      </c>
      <c r="F211" s="234">
        <v>532</v>
      </c>
      <c r="G211" s="235">
        <v>361</v>
      </c>
      <c r="H211" s="235">
        <v>641</v>
      </c>
      <c r="I211" s="236">
        <v>465</v>
      </c>
      <c r="J211" s="235">
        <v>78</v>
      </c>
    </row>
    <row r="212" spans="2:10">
      <c r="B212" s="158" t="s">
        <v>149</v>
      </c>
      <c r="C212" s="106">
        <v>119</v>
      </c>
      <c r="D212" s="106">
        <v>17</v>
      </c>
      <c r="E212" s="106">
        <v>3</v>
      </c>
      <c r="F212" s="237">
        <v>26</v>
      </c>
      <c r="G212" s="238">
        <v>10</v>
      </c>
      <c r="H212" s="238">
        <v>62</v>
      </c>
      <c r="I212" s="239">
        <v>35</v>
      </c>
      <c r="J212" s="238">
        <v>10</v>
      </c>
    </row>
    <row r="213" spans="2:10">
      <c r="B213" s="155" t="s">
        <v>153</v>
      </c>
      <c r="C213" s="103">
        <v>11</v>
      </c>
      <c r="D213" s="103">
        <v>3</v>
      </c>
      <c r="E213" s="103">
        <v>0</v>
      </c>
      <c r="F213" s="240">
        <v>0</v>
      </c>
      <c r="G213" s="241">
        <v>0</v>
      </c>
      <c r="H213" s="241">
        <v>3</v>
      </c>
      <c r="I213" s="242">
        <v>11</v>
      </c>
      <c r="J213" s="241">
        <v>3</v>
      </c>
    </row>
    <row r="214" spans="2:10">
      <c r="B214" s="158" t="s">
        <v>151</v>
      </c>
      <c r="C214" s="106">
        <v>5</v>
      </c>
      <c r="D214" s="106">
        <v>4</v>
      </c>
      <c r="E214" s="106">
        <v>0</v>
      </c>
      <c r="F214" s="237">
        <v>0</v>
      </c>
      <c r="G214" s="238">
        <v>0</v>
      </c>
      <c r="H214" s="238">
        <v>0</v>
      </c>
      <c r="I214" s="239">
        <v>9</v>
      </c>
      <c r="J214" s="238">
        <v>0</v>
      </c>
    </row>
    <row r="215" spans="2:10">
      <c r="B215" s="155" t="s">
        <v>164</v>
      </c>
      <c r="C215" s="103">
        <v>6</v>
      </c>
      <c r="D215" s="103">
        <v>0</v>
      </c>
      <c r="E215" s="103">
        <v>0</v>
      </c>
      <c r="F215" s="240">
        <v>0</v>
      </c>
      <c r="G215" s="241">
        <v>0</v>
      </c>
      <c r="H215" s="241">
        <v>3</v>
      </c>
      <c r="I215" s="242">
        <v>0</v>
      </c>
      <c r="J215" s="241">
        <v>0</v>
      </c>
    </row>
    <row r="216" spans="2:10">
      <c r="B216" s="158" t="s">
        <v>167</v>
      </c>
      <c r="C216" s="106">
        <v>0</v>
      </c>
      <c r="D216" s="106">
        <v>4</v>
      </c>
      <c r="E216" s="106">
        <v>0</v>
      </c>
      <c r="F216" s="237">
        <v>0</v>
      </c>
      <c r="G216" s="238">
        <v>0</v>
      </c>
      <c r="H216" s="238">
        <v>4</v>
      </c>
      <c r="I216" s="239">
        <v>0</v>
      </c>
      <c r="J216" s="238">
        <v>0</v>
      </c>
    </row>
    <row r="217" spans="2:10">
      <c r="B217" s="155" t="s">
        <v>163</v>
      </c>
      <c r="C217" s="103">
        <v>0</v>
      </c>
      <c r="D217" s="103">
        <v>4</v>
      </c>
      <c r="E217" s="103">
        <v>0</v>
      </c>
      <c r="F217" s="240">
        <v>0</v>
      </c>
      <c r="G217" s="241">
        <v>0</v>
      </c>
      <c r="H217" s="241">
        <v>0</v>
      </c>
      <c r="I217" s="242">
        <v>0</v>
      </c>
      <c r="J217" s="241">
        <v>0</v>
      </c>
    </row>
    <row r="218" spans="2:10">
      <c r="B218" s="158" t="s">
        <v>162</v>
      </c>
      <c r="C218" s="106">
        <v>0</v>
      </c>
      <c r="D218" s="106">
        <v>4</v>
      </c>
      <c r="E218" s="106">
        <v>0</v>
      </c>
      <c r="F218" s="237">
        <v>0</v>
      </c>
      <c r="G218" s="238">
        <v>0</v>
      </c>
      <c r="H218" s="238">
        <v>4</v>
      </c>
      <c r="I218" s="239">
        <v>0</v>
      </c>
      <c r="J218" s="238">
        <v>0</v>
      </c>
    </row>
    <row r="219" spans="2:10">
      <c r="B219" s="155" t="s">
        <v>156</v>
      </c>
      <c r="C219" s="103">
        <v>0</v>
      </c>
      <c r="D219" s="103">
        <v>3</v>
      </c>
      <c r="E219" s="103">
        <v>0</v>
      </c>
      <c r="F219" s="240">
        <v>0</v>
      </c>
      <c r="G219" s="241">
        <v>0</v>
      </c>
      <c r="H219" s="241">
        <v>7</v>
      </c>
      <c r="I219" s="242">
        <v>0</v>
      </c>
      <c r="J219" s="241">
        <v>0</v>
      </c>
    </row>
    <row r="220" spans="2:10">
      <c r="B220" s="158" t="s">
        <v>154</v>
      </c>
      <c r="C220" s="106">
        <v>3</v>
      </c>
      <c r="D220" s="106">
        <v>0</v>
      </c>
      <c r="E220" s="106">
        <v>0</v>
      </c>
      <c r="F220" s="237">
        <v>0</v>
      </c>
      <c r="G220" s="238">
        <v>0</v>
      </c>
      <c r="H220" s="238">
        <v>0</v>
      </c>
      <c r="I220" s="239">
        <v>0</v>
      </c>
      <c r="J220" s="238">
        <v>0</v>
      </c>
    </row>
    <row r="221" spans="2:10">
      <c r="B221" s="155" t="s">
        <v>155</v>
      </c>
      <c r="C221" s="103">
        <v>0</v>
      </c>
      <c r="D221" s="103">
        <v>4</v>
      </c>
      <c r="E221" s="103">
        <v>0</v>
      </c>
      <c r="F221" s="240">
        <v>0</v>
      </c>
      <c r="G221" s="241">
        <v>0</v>
      </c>
      <c r="H221" s="241">
        <v>0</v>
      </c>
      <c r="I221" s="242">
        <v>4</v>
      </c>
      <c r="J221" s="241">
        <v>0</v>
      </c>
    </row>
    <row r="222" spans="2:10">
      <c r="B222" s="158" t="s">
        <v>168</v>
      </c>
      <c r="C222" s="106">
        <v>0</v>
      </c>
      <c r="D222" s="106">
        <v>0</v>
      </c>
      <c r="E222" s="106">
        <v>0</v>
      </c>
      <c r="F222" s="237">
        <v>0</v>
      </c>
      <c r="G222" s="238">
        <v>0</v>
      </c>
      <c r="H222" s="238">
        <v>0</v>
      </c>
      <c r="I222" s="239">
        <v>0</v>
      </c>
      <c r="J222" s="238">
        <v>0</v>
      </c>
    </row>
    <row r="223" spans="2:10">
      <c r="B223" s="155" t="s">
        <v>159</v>
      </c>
      <c r="C223" s="103">
        <v>0</v>
      </c>
      <c r="D223" s="103">
        <v>0</v>
      </c>
      <c r="E223" s="103">
        <v>0</v>
      </c>
      <c r="F223" s="240">
        <v>0</v>
      </c>
      <c r="G223" s="241">
        <v>0</v>
      </c>
      <c r="H223" s="241">
        <v>0</v>
      </c>
      <c r="I223" s="242">
        <v>0</v>
      </c>
      <c r="J223" s="241">
        <v>0</v>
      </c>
    </row>
    <row r="224" spans="2:10">
      <c r="B224" s="158" t="s">
        <v>152</v>
      </c>
      <c r="C224" s="106">
        <v>0</v>
      </c>
      <c r="D224" s="106">
        <v>0</v>
      </c>
      <c r="E224" s="106">
        <v>0</v>
      </c>
      <c r="F224" s="237">
        <v>0</v>
      </c>
      <c r="G224" s="238">
        <v>0</v>
      </c>
      <c r="H224" s="238">
        <v>0</v>
      </c>
      <c r="I224" s="239">
        <v>0</v>
      </c>
      <c r="J224" s="238">
        <v>0</v>
      </c>
    </row>
    <row r="225" spans="2:11">
      <c r="B225" s="155" t="s">
        <v>166</v>
      </c>
      <c r="C225" s="103">
        <v>0</v>
      </c>
      <c r="D225" s="103">
        <v>0</v>
      </c>
      <c r="E225" s="103">
        <v>0</v>
      </c>
      <c r="F225" s="240">
        <v>0</v>
      </c>
      <c r="G225" s="241">
        <v>0</v>
      </c>
      <c r="H225" s="241">
        <v>0</v>
      </c>
      <c r="I225" s="242">
        <v>0</v>
      </c>
      <c r="J225" s="241">
        <v>0</v>
      </c>
    </row>
    <row r="226" spans="2:11">
      <c r="B226" s="158" t="s">
        <v>157</v>
      </c>
      <c r="C226" s="106">
        <v>0</v>
      </c>
      <c r="D226" s="106">
        <v>0</v>
      </c>
      <c r="E226" s="106">
        <v>0</v>
      </c>
      <c r="F226" s="237">
        <v>0</v>
      </c>
      <c r="G226" s="238">
        <v>0</v>
      </c>
      <c r="H226" s="238">
        <v>0</v>
      </c>
      <c r="I226" s="239">
        <v>0</v>
      </c>
      <c r="J226" s="238">
        <v>0</v>
      </c>
    </row>
    <row r="227" spans="2:11">
      <c r="B227" s="155" t="s">
        <v>158</v>
      </c>
      <c r="C227" s="103">
        <v>0</v>
      </c>
      <c r="D227" s="103">
        <v>0</v>
      </c>
      <c r="E227" s="103">
        <v>0</v>
      </c>
      <c r="F227" s="240">
        <v>0</v>
      </c>
      <c r="G227" s="241">
        <v>0</v>
      </c>
      <c r="H227" s="241">
        <v>0</v>
      </c>
      <c r="I227" s="242">
        <v>0</v>
      </c>
      <c r="J227" s="241">
        <v>0</v>
      </c>
    </row>
    <row r="228" spans="2:11">
      <c r="B228" s="158" t="s">
        <v>160</v>
      </c>
      <c r="C228" s="106">
        <v>0</v>
      </c>
      <c r="D228" s="106">
        <v>0</v>
      </c>
      <c r="E228" s="106">
        <v>0</v>
      </c>
      <c r="F228" s="237">
        <v>0</v>
      </c>
      <c r="G228" s="238">
        <v>0</v>
      </c>
      <c r="H228" s="238">
        <v>0</v>
      </c>
      <c r="I228" s="239">
        <v>0</v>
      </c>
      <c r="J228" s="238">
        <v>0</v>
      </c>
    </row>
    <row r="229" spans="2:11">
      <c r="B229" s="155" t="s">
        <v>165</v>
      </c>
      <c r="C229" s="103">
        <v>0</v>
      </c>
      <c r="D229" s="103">
        <v>0</v>
      </c>
      <c r="E229" s="103">
        <v>0</v>
      </c>
      <c r="F229" s="240">
        <v>0</v>
      </c>
      <c r="G229" s="241">
        <v>0</v>
      </c>
      <c r="H229" s="241">
        <v>0</v>
      </c>
      <c r="I229" s="242">
        <v>0</v>
      </c>
      <c r="J229" s="241">
        <v>0</v>
      </c>
    </row>
    <row r="230" spans="2:11">
      <c r="B230" s="158" t="s">
        <v>161</v>
      </c>
      <c r="C230" s="106">
        <v>0</v>
      </c>
      <c r="D230" s="106">
        <v>0</v>
      </c>
      <c r="E230" s="106">
        <v>0</v>
      </c>
      <c r="F230" s="237">
        <v>0</v>
      </c>
      <c r="G230" s="238">
        <v>0</v>
      </c>
      <c r="H230" s="238">
        <v>0</v>
      </c>
      <c r="I230" s="239">
        <v>0</v>
      </c>
      <c r="J230" s="238">
        <v>0</v>
      </c>
    </row>
    <row r="231" spans="2:11">
      <c r="B231" s="158" t="s">
        <v>71</v>
      </c>
      <c r="C231" s="106">
        <v>21</v>
      </c>
      <c r="D231" s="106">
        <v>11</v>
      </c>
      <c r="E231" s="106">
        <v>0</v>
      </c>
      <c r="F231" s="237">
        <v>11</v>
      </c>
      <c r="G231" s="238">
        <v>5</v>
      </c>
      <c r="H231" s="238">
        <v>9</v>
      </c>
      <c r="I231" s="239">
        <v>11</v>
      </c>
      <c r="J231" s="238">
        <v>0</v>
      </c>
    </row>
    <row r="232" spans="2:11">
      <c r="B232" s="158" t="s">
        <v>58</v>
      </c>
      <c r="C232" s="106">
        <v>91</v>
      </c>
      <c r="D232" s="106">
        <v>3</v>
      </c>
      <c r="E232" s="106">
        <v>57</v>
      </c>
      <c r="F232" s="237">
        <v>35</v>
      </c>
      <c r="G232" s="238">
        <v>16</v>
      </c>
      <c r="H232" s="238">
        <v>68</v>
      </c>
      <c r="I232" s="239">
        <v>17</v>
      </c>
      <c r="J232" s="238">
        <v>8</v>
      </c>
    </row>
    <row r="233" spans="2:11" ht="15.75">
      <c r="B233" s="115" t="s">
        <v>72</v>
      </c>
      <c r="C233" s="116">
        <f>C16</f>
        <v>2322</v>
      </c>
      <c r="D233" s="116">
        <f>C17</f>
        <v>70</v>
      </c>
      <c r="E233" s="116">
        <f>C18</f>
        <v>65</v>
      </c>
      <c r="F233" s="695" t="s">
        <v>261</v>
      </c>
      <c r="G233" s="696" t="s">
        <v>262</v>
      </c>
      <c r="H233" s="696" t="s">
        <v>263</v>
      </c>
      <c r="I233" s="696" t="s">
        <v>264</v>
      </c>
      <c r="J233" s="1123" t="s">
        <v>265</v>
      </c>
    </row>
    <row r="234" spans="2:11">
      <c r="J234" s="180"/>
    </row>
    <row r="236" spans="2:11" ht="15.75">
      <c r="K236" s="285" t="s">
        <v>642</v>
      </c>
    </row>
    <row r="237" spans="2:11" ht="15.75">
      <c r="B237" s="499" t="s">
        <v>857</v>
      </c>
      <c r="C237" s="500"/>
      <c r="D237" s="500"/>
      <c r="E237" s="500"/>
      <c r="F237" s="500"/>
      <c r="G237" s="500"/>
      <c r="H237" s="500"/>
      <c r="I237" s="500"/>
      <c r="J237" s="501"/>
    </row>
    <row r="238" spans="2:11" ht="15.75">
      <c r="B238" s="502" t="s">
        <v>424</v>
      </c>
      <c r="C238" s="503"/>
      <c r="D238" s="503"/>
      <c r="E238" s="503"/>
      <c r="F238" s="503"/>
      <c r="G238" s="503"/>
      <c r="H238" s="503"/>
      <c r="I238" s="503"/>
      <c r="J238" s="504"/>
    </row>
    <row r="239" spans="2:11" ht="15.75">
      <c r="B239" s="505" t="s">
        <v>824</v>
      </c>
      <c r="C239" s="506"/>
      <c r="D239" s="506"/>
      <c r="E239" s="506"/>
      <c r="F239" s="506"/>
      <c r="G239" s="506"/>
      <c r="H239" s="506"/>
      <c r="I239" s="506"/>
      <c r="J239" s="507"/>
    </row>
  </sheetData>
  <sheetProtection algorithmName="SHA-512" hashValue="4DCg7D0NDpjoqWubKE9gyOtvMM3eECXo+jbTo/Plzzmf4C8t4XRlW94Fgpky+ZC0YUlgvzE5S3pli7GVt/XMfA==" saltValue="mkjDupGOoxCJxNuxFxB1JQ==" spinCount="100000" sheet="1" objects="1" scenarios="1"/>
  <mergeCells count="15">
    <mergeCell ref="J1:K1"/>
    <mergeCell ref="I30:J30"/>
    <mergeCell ref="I31:J31"/>
    <mergeCell ref="I32:J32"/>
    <mergeCell ref="I33:J33"/>
    <mergeCell ref="I34:J34"/>
    <mergeCell ref="I40:J40"/>
    <mergeCell ref="C168:F168"/>
    <mergeCell ref="I41:J41"/>
    <mergeCell ref="I42:J42"/>
    <mergeCell ref="I35:J35"/>
    <mergeCell ref="I36:J36"/>
    <mergeCell ref="I37:J37"/>
    <mergeCell ref="I38:J38"/>
    <mergeCell ref="I39:J39"/>
  </mergeCells>
  <hyperlinks>
    <hyperlink ref="J1:K1" location="'Index '!A1" display="Back to Index"/>
    <hyperlink ref="K236" location="'3.14 Tiwi Islands'!K1" display="Back to top"/>
  </hyperlinks>
  <pageMargins left="0.35433070866141736" right="3.937007874015748E-2" top="0.51181102362204722" bottom="0.35433070866141736" header="0.11811023622047245" footer="0.11811023622047245"/>
  <pageSetup paperSize="9" scale="56" fitToHeight="10" orientation="portrait" horizontalDpi="300" verticalDpi="300" r:id="rId1"/>
  <headerFooter differentFirst="1" alignWithMargins="0">
    <oddHeader>&amp;L&amp;"Helvetica Bold,Bold"&amp;18&amp;K000000X LGA (Continued)</oddHeader>
  </headerFooter>
  <ignoredErrors>
    <ignoredError sqref="F39:F40" calculatedColumn="1"/>
    <ignoredError sqref="H111" formula="1"/>
  </ignoredErrors>
  <drawing r:id="rId2"/>
  <tableParts count="6">
    <tablePart r:id="rId3"/>
    <tablePart r:id="rId4"/>
    <tablePart r:id="rId5"/>
    <tablePart r:id="rId6"/>
    <tablePart r:id="rId7"/>
    <tablePart r:id="rId8"/>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39"/>
  <sheetViews>
    <sheetView showGridLines="0" zoomScaleNormal="100" zoomScaleSheetLayoutView="120" zoomScalePageLayoutView="75" workbookViewId="0"/>
  </sheetViews>
  <sheetFormatPr defaultColWidth="15.625" defaultRowHeight="12.75"/>
  <cols>
    <col min="1" max="1" width="5.875" style="149" customWidth="1"/>
    <col min="2" max="2" width="40.875" style="149" customWidth="1"/>
    <col min="3" max="11" width="10.875" style="149" customWidth="1"/>
    <col min="12" max="14" width="15.625" style="149" customWidth="1"/>
    <col min="15" max="18" width="15.625" style="149"/>
    <col min="19" max="28" width="15.625" style="149" customWidth="1"/>
    <col min="29" max="16384" width="15.625" style="149"/>
  </cols>
  <sheetData>
    <row r="1" spans="1:11" ht="15.75">
      <c r="B1" s="122"/>
      <c r="C1" s="122"/>
      <c r="D1" s="122"/>
      <c r="E1" s="122"/>
      <c r="J1" s="1229" t="s">
        <v>359</v>
      </c>
      <c r="K1" s="1229"/>
    </row>
    <row r="2" spans="1:11" ht="30" customHeight="1">
      <c r="A2" s="123"/>
      <c r="B2" s="119" t="s">
        <v>914</v>
      </c>
      <c r="C2" s="120"/>
      <c r="D2" s="120"/>
      <c r="E2" s="120"/>
      <c r="F2" s="120"/>
      <c r="G2" s="1268" t="s">
        <v>296</v>
      </c>
      <c r="H2" s="1268"/>
      <c r="I2" s="1268"/>
      <c r="J2" s="1268"/>
      <c r="K2" s="1268"/>
    </row>
    <row r="3" spans="1:11">
      <c r="B3" s="122"/>
      <c r="C3" s="122"/>
      <c r="D3" s="122"/>
      <c r="E3" s="122"/>
      <c r="F3" s="122"/>
      <c r="H3" s="514"/>
      <c r="I3" s="514"/>
    </row>
    <row r="4" spans="1:11">
      <c r="B4" s="122"/>
      <c r="C4" s="122"/>
      <c r="D4" s="122"/>
      <c r="E4" s="122"/>
      <c r="F4" s="122"/>
      <c r="H4" s="514"/>
      <c r="I4" s="514"/>
    </row>
    <row r="5" spans="1:11">
      <c r="B5" s="123"/>
      <c r="C5" s="123"/>
      <c r="D5" s="123"/>
      <c r="E5" s="122"/>
      <c r="F5" s="122"/>
      <c r="H5" s="514"/>
      <c r="I5" s="514"/>
    </row>
    <row r="6" spans="1:11" ht="15.75">
      <c r="B6" s="124" t="s">
        <v>0</v>
      </c>
      <c r="C6" s="53" t="s">
        <v>1</v>
      </c>
      <c r="D6" s="123"/>
      <c r="E6" s="122"/>
      <c r="F6" s="122"/>
      <c r="H6" s="1124"/>
      <c r="I6" s="1124"/>
    </row>
    <row r="7" spans="1:11" ht="15.75">
      <c r="B7" s="126" t="s">
        <v>2</v>
      </c>
      <c r="C7" s="53">
        <f>D16</f>
        <v>0.82095914742451159</v>
      </c>
      <c r="D7" s="123"/>
      <c r="E7" s="122"/>
      <c r="F7" s="122"/>
    </row>
    <row r="8" spans="1:11" ht="15.75">
      <c r="B8" s="126" t="s">
        <v>3</v>
      </c>
      <c r="C8" s="53">
        <f>D18</f>
        <v>0.1428063943161634</v>
      </c>
      <c r="D8" s="123"/>
      <c r="E8" s="122"/>
      <c r="F8" s="122"/>
    </row>
    <row r="9" spans="1:11" ht="15.75">
      <c r="B9" s="126" t="s">
        <v>4</v>
      </c>
      <c r="C9" s="53">
        <f>D19</f>
        <v>1.9893428063943161E-2</v>
      </c>
      <c r="D9" s="123"/>
      <c r="E9" s="122"/>
      <c r="F9" s="122"/>
    </row>
    <row r="10" spans="1:11" ht="15.75">
      <c r="B10" s="126"/>
      <c r="C10" s="53"/>
      <c r="D10" s="123"/>
      <c r="E10" s="122"/>
      <c r="F10" s="122"/>
    </row>
    <row r="11" spans="1:11" ht="15.75">
      <c r="B11" s="126" t="s">
        <v>5</v>
      </c>
      <c r="C11" s="53">
        <f>D20</f>
        <v>1.52753108348135E-2</v>
      </c>
      <c r="D11" s="123"/>
      <c r="E11" s="122"/>
      <c r="F11" s="122"/>
    </row>
    <row r="12" spans="1:11" ht="23.25">
      <c r="B12" s="127" t="s">
        <v>774</v>
      </c>
    </row>
    <row r="14" spans="1:11" s="128" customFormat="1" ht="25.5">
      <c r="B14" s="252" t="s">
        <v>0</v>
      </c>
      <c r="C14" s="233" t="s">
        <v>6</v>
      </c>
      <c r="D14" s="233" t="s">
        <v>1</v>
      </c>
      <c r="E14" s="233" t="s">
        <v>7</v>
      </c>
      <c r="F14" s="233" t="s">
        <v>65</v>
      </c>
      <c r="G14" s="233" t="s">
        <v>8</v>
      </c>
    </row>
    <row r="15" spans="1:11" s="329" customFormat="1">
      <c r="B15" s="262" t="s">
        <v>9</v>
      </c>
      <c r="C15" s="55">
        <v>2815</v>
      </c>
      <c r="D15" s="54">
        <f t="shared" ref="D15:D25" si="0">(C15/$C$15)</f>
        <v>1</v>
      </c>
      <c r="E15" s="55">
        <v>5924</v>
      </c>
      <c r="F15" s="55">
        <f>(Table4791113157212579399117[[#This Row],[Persons]]-Table4791113157212579399117[[#This Row],[2011 Census]])</f>
        <v>-3109</v>
      </c>
      <c r="G15" s="54">
        <f>(Table4791113157212579399117[[#This Row],[Change 2011-2016]]/Table4791113157212579399117[[#This Row],[2011 Census]])</f>
        <v>-0.52481431465226203</v>
      </c>
    </row>
    <row r="16" spans="1:11" s="329" customFormat="1">
      <c r="B16" s="262" t="s">
        <v>2</v>
      </c>
      <c r="C16" s="55">
        <v>2311</v>
      </c>
      <c r="D16" s="54">
        <f t="shared" si="0"/>
        <v>0.82095914742451159</v>
      </c>
      <c r="E16" s="55">
        <v>5657</v>
      </c>
      <c r="F16" s="55">
        <f>(Table4791113157212579399117[[#This Row],[Persons]]-Table4791113157212579399117[[#This Row],[2011 Census]])</f>
        <v>-3346</v>
      </c>
      <c r="G16" s="54">
        <f>(Table4791113157212579399117[[#This Row],[Change 2011-2016]]/Table4791113157212579399117[[#This Row],[2011 Census]])</f>
        <v>-0.59147958281774793</v>
      </c>
    </row>
    <row r="17" spans="2:10" s="329" customFormat="1">
      <c r="B17" s="262" t="s">
        <v>362</v>
      </c>
      <c r="C17" s="55">
        <v>94</v>
      </c>
      <c r="D17" s="54">
        <f t="shared" si="0"/>
        <v>3.3392539964476019E-2</v>
      </c>
      <c r="E17" s="55">
        <v>102</v>
      </c>
      <c r="F17" s="55">
        <f>(Table4791113157212579399117[[#This Row],[Persons]]-Table4791113157212579399117[[#This Row],[2011 Census]])</f>
        <v>-8</v>
      </c>
      <c r="G17" s="54">
        <f>(Table4791113157212579399117[[#This Row],[Change 2011-2016]]/Table4791113157212579399117[[#This Row],[2011 Census]])</f>
        <v>-7.8431372549019607E-2</v>
      </c>
    </row>
    <row r="18" spans="2:10" s="329" customFormat="1">
      <c r="B18" s="262" t="s">
        <v>3</v>
      </c>
      <c r="C18" s="55">
        <v>402</v>
      </c>
      <c r="D18" s="54">
        <f t="shared" si="0"/>
        <v>0.1428063943161634</v>
      </c>
      <c r="E18" s="55">
        <v>164</v>
      </c>
      <c r="F18" s="55">
        <f>(Table4791113157212579399117[[#This Row],[Persons]]-Table4791113157212579399117[[#This Row],[2011 Census]])</f>
        <v>238</v>
      </c>
      <c r="G18" s="54">
        <f>(Table4791113157212579399117[[#This Row],[Change 2011-2016]]/Table4791113157212579399117[[#This Row],[2011 Census]])</f>
        <v>1.4512195121951219</v>
      </c>
    </row>
    <row r="19" spans="2:10" s="329" customFormat="1">
      <c r="B19" s="262" t="s">
        <v>4</v>
      </c>
      <c r="C19" s="55">
        <v>56</v>
      </c>
      <c r="D19" s="54">
        <f t="shared" si="0"/>
        <v>1.9893428063943161E-2</v>
      </c>
      <c r="E19" s="55">
        <v>71</v>
      </c>
      <c r="F19" s="55">
        <f>(Table4791113157212579399117[[#This Row],[Persons]]-Table4791113157212579399117[[#This Row],[2011 Census]])</f>
        <v>-15</v>
      </c>
      <c r="G19" s="54">
        <f>(Table4791113157212579399117[[#This Row],[Change 2011-2016]]/Table4791113157212579399117[[#This Row],[2011 Census]])</f>
        <v>-0.21126760563380281</v>
      </c>
    </row>
    <row r="20" spans="2:10" s="329" customFormat="1">
      <c r="B20" s="262" t="s">
        <v>5</v>
      </c>
      <c r="C20" s="55">
        <v>43</v>
      </c>
      <c r="D20" s="54">
        <f t="shared" si="0"/>
        <v>1.52753108348135E-2</v>
      </c>
      <c r="E20" s="55">
        <v>31</v>
      </c>
      <c r="F20" s="55">
        <f>(Table4791113157212579399117[[#This Row],[Persons]]-Table4791113157212579399117[[#This Row],[2011 Census]])</f>
        <v>12</v>
      </c>
      <c r="G20" s="54">
        <f>(Table4791113157212579399117[[#This Row],[Change 2011-2016]]/Table4791113157212579399117[[#This Row],[2011 Census]])</f>
        <v>0.38709677419354838</v>
      </c>
    </row>
    <row r="21" spans="2:10" s="329" customFormat="1">
      <c r="B21" s="262" t="s">
        <v>11</v>
      </c>
      <c r="C21" s="55">
        <v>49</v>
      </c>
      <c r="D21" s="54">
        <f t="shared" si="0"/>
        <v>1.7406749555950268E-2</v>
      </c>
      <c r="E21" s="55">
        <v>50</v>
      </c>
      <c r="F21" s="55">
        <f>(Table4791113157212579399117[[#This Row],[Persons]]-Table4791113157212579399117[[#This Row],[2011 Census]])</f>
        <v>-1</v>
      </c>
      <c r="G21" s="54">
        <f>(Table4791113157212579399117[[#This Row],[Change 2011-2016]]/Table4791113157212579399117[[#This Row],[2011 Census]])</f>
        <v>-0.02</v>
      </c>
    </row>
    <row r="22" spans="2:10" s="329" customFormat="1">
      <c r="B22" s="262" t="s">
        <v>12</v>
      </c>
      <c r="C22" s="55">
        <v>1821</v>
      </c>
      <c r="D22" s="54">
        <f t="shared" si="0"/>
        <v>0.64689165186500885</v>
      </c>
      <c r="E22" s="55">
        <v>4691</v>
      </c>
      <c r="F22" s="55">
        <f>(Table4791113157212579399117[[#This Row],[Persons]]-Table4791113157212579399117[[#This Row],[2011 Census]])</f>
        <v>-2870</v>
      </c>
      <c r="G22" s="54">
        <f>(Table4791113157212579399117[[#This Row],[Change 2011-2016]]/Table4791113157212579399117[[#This Row],[2011 Census]])</f>
        <v>-0.61180984864634402</v>
      </c>
    </row>
    <row r="23" spans="2:10" s="329" customFormat="1">
      <c r="B23" s="262" t="s">
        <v>13</v>
      </c>
      <c r="C23" s="55">
        <v>1363</v>
      </c>
      <c r="D23" s="54">
        <f t="shared" si="0"/>
        <v>0.4841918294849023</v>
      </c>
      <c r="E23" s="55">
        <v>3854</v>
      </c>
      <c r="F23" s="55">
        <f>(Table4791113157212579399117[[#This Row],[Persons]]-Table4791113157212579399117[[#This Row],[2011 Census]])</f>
        <v>-2491</v>
      </c>
      <c r="G23" s="54">
        <f>(Table4791113157212579399117[[#This Row],[Change 2011-2016]]/Table4791113157212579399117[[#This Row],[2011 Census]])</f>
        <v>-0.64634146341463417</v>
      </c>
    </row>
    <row r="24" spans="2:10" s="329" customFormat="1">
      <c r="B24" s="262" t="s">
        <v>869</v>
      </c>
      <c r="C24" s="1121">
        <v>16</v>
      </c>
      <c r="D24" s="54">
        <f t="shared" si="0"/>
        <v>5.6838365896980459E-3</v>
      </c>
      <c r="E24" s="512">
        <v>24</v>
      </c>
      <c r="F24" s="55">
        <f>(Table4791113157212579399117[[#This Row],[Persons]]-Table4791113157212579399117[[#This Row],[2011 Census]])</f>
        <v>-8</v>
      </c>
      <c r="G24" s="54">
        <f>(Table4791113157212579399117[[#This Row],[Change 2011-2016]]/Table4791113157212579399117[[#This Row],[2011 Census]])</f>
        <v>-0.33333333333333331</v>
      </c>
    </row>
    <row r="25" spans="2:10" s="329" customFormat="1" ht="15" customHeight="1">
      <c r="B25" s="262" t="s">
        <v>870</v>
      </c>
      <c r="C25" s="55">
        <v>10</v>
      </c>
      <c r="D25" s="54">
        <f t="shared" si="0"/>
        <v>3.552397868561279E-3</v>
      </c>
      <c r="E25" s="512">
        <v>8</v>
      </c>
      <c r="F25" s="55">
        <f>(Table4791113157212579399117[[#This Row],[Persons]]-Table4791113157212579399117[[#This Row],[2011 Census]])</f>
        <v>2</v>
      </c>
      <c r="G25" s="54">
        <f>(Table4791113157212579399117[[#This Row],[Change 2011-2016]]/Table4791113157212579399117[[#This Row],[2011 Census]])</f>
        <v>0.25</v>
      </c>
    </row>
    <row r="26" spans="2:10" s="329" customFormat="1">
      <c r="B26" s="349" t="s">
        <v>366</v>
      </c>
    </row>
    <row r="27" spans="2:10" s="329" customFormat="1">
      <c r="B27" s="349"/>
    </row>
    <row r="28" spans="2:10" s="329" customFormat="1" ht="23.25">
      <c r="B28" s="127" t="s">
        <v>775</v>
      </c>
      <c r="D28" s="513"/>
      <c r="E28" s="514"/>
      <c r="F28" s="514"/>
      <c r="G28" s="514"/>
    </row>
    <row r="29" spans="2:10" s="329" customFormat="1" ht="15.75">
      <c r="B29" s="133" t="s">
        <v>333</v>
      </c>
    </row>
    <row r="30" spans="2:10" s="128" customFormat="1" ht="25.5">
      <c r="B30" s="252" t="s">
        <v>14</v>
      </c>
      <c r="C30" s="252" t="s">
        <v>15</v>
      </c>
      <c r="D30" s="252" t="s">
        <v>16</v>
      </c>
      <c r="E30" s="252" t="s">
        <v>17</v>
      </c>
      <c r="F30" s="252" t="s">
        <v>18</v>
      </c>
      <c r="G30" s="252" t="s">
        <v>19</v>
      </c>
      <c r="H30" s="252" t="s">
        <v>20</v>
      </c>
      <c r="I30" s="1240"/>
      <c r="J30" s="1240"/>
    </row>
    <row r="31" spans="2:10" s="329" customFormat="1">
      <c r="B31" s="907" t="s">
        <v>73</v>
      </c>
      <c r="C31" s="287">
        <v>14</v>
      </c>
      <c r="D31" s="287">
        <v>10</v>
      </c>
      <c r="E31" s="287">
        <v>22</v>
      </c>
      <c r="F31" s="288">
        <f>(Table55202469298116[[#This Row],[Persons 2016]]/$C$17)</f>
        <v>0.23404255319148937</v>
      </c>
      <c r="G31" s="908">
        <v>21</v>
      </c>
      <c r="H31" s="288">
        <f>IFERROR((Table55202469298116[[#This Row],[Persons 2016]]-Table55202469298116[[#This Row],[Persons 2011]])/Table55202469298116[[#This Row],[Persons 2011]],"..")</f>
        <v>4.7619047619047616E-2</v>
      </c>
      <c r="I31" s="1250"/>
      <c r="J31" s="1250"/>
    </row>
    <row r="32" spans="2:10" s="329" customFormat="1">
      <c r="B32" s="655" t="s">
        <v>92</v>
      </c>
      <c r="C32" s="287">
        <v>9</v>
      </c>
      <c r="D32" s="287">
        <v>8</v>
      </c>
      <c r="E32" s="287">
        <v>17</v>
      </c>
      <c r="F32" s="288">
        <f>(Table55202469298116[[#This Row],[Persons 2016]]/$C$17)</f>
        <v>0.18085106382978725</v>
      </c>
      <c r="G32" s="908">
        <v>34</v>
      </c>
      <c r="H32" s="288">
        <f>IFERROR((Table55202469298116[[#This Row],[Persons 2016]]-Table55202469298116[[#This Row],[Persons 2011]])/Table55202469298116[[#This Row],[Persons 2011]],"..")</f>
        <v>-0.5</v>
      </c>
      <c r="I32" s="1250"/>
      <c r="J32" s="1250"/>
    </row>
    <row r="33" spans="2:10" s="329" customFormat="1">
      <c r="B33" s="655" t="s">
        <v>74</v>
      </c>
      <c r="C33" s="287">
        <v>0</v>
      </c>
      <c r="D33" s="287">
        <v>5</v>
      </c>
      <c r="E33" s="287">
        <v>9</v>
      </c>
      <c r="F33" s="288">
        <f>(Table55202469298116[[#This Row],[Persons 2016]]/$C$17)</f>
        <v>9.5744680851063829E-2</v>
      </c>
      <c r="G33" s="288" t="s">
        <v>94</v>
      </c>
      <c r="H33" s="288" t="str">
        <f>IFERROR((Table55202469298116[[#This Row],[Persons 2016]]-Table55202469298116[[#This Row],[Persons 2011]])/Table55202469298116[[#This Row],[Persons 2011]],"..")</f>
        <v>..</v>
      </c>
      <c r="I33" s="1250"/>
      <c r="J33" s="1250"/>
    </row>
    <row r="34" spans="2:10" s="329" customFormat="1">
      <c r="B34" s="907" t="s">
        <v>126</v>
      </c>
      <c r="C34" s="287">
        <v>0</v>
      </c>
      <c r="D34" s="287">
        <v>0</v>
      </c>
      <c r="E34" s="287">
        <v>5</v>
      </c>
      <c r="F34" s="288">
        <f>(Table55202469298116[[#This Row],[Persons 2016]]/$C$17)</f>
        <v>5.3191489361702128E-2</v>
      </c>
      <c r="G34" s="288" t="s">
        <v>94</v>
      </c>
      <c r="H34" s="288" t="str">
        <f>IFERROR((Table55202469298116[[#This Row],[Persons 2016]]-Table55202469298116[[#This Row],[Persons 2011]])/Table55202469298116[[#This Row],[Persons 2011]],"..")</f>
        <v>..</v>
      </c>
      <c r="I34" s="1250"/>
      <c r="J34" s="1250"/>
    </row>
    <row r="35" spans="2:10" s="329" customFormat="1">
      <c r="B35" s="907" t="s">
        <v>78</v>
      </c>
      <c r="C35" s="287">
        <v>0</v>
      </c>
      <c r="D35" s="287">
        <v>0</v>
      </c>
      <c r="E35" s="287">
        <v>5</v>
      </c>
      <c r="F35" s="288">
        <f>(Table55202469298116[[#This Row],[Persons 2016]]/$C$17)</f>
        <v>5.3191489361702128E-2</v>
      </c>
      <c r="G35" s="288" t="s">
        <v>94</v>
      </c>
      <c r="H35" s="288" t="str">
        <f>IFERROR((Table55202469298116[[#This Row],[Persons 2016]]-Table55202469298116[[#This Row],[Persons 2011]])/Table55202469298116[[#This Row],[Persons 2011]],"..")</f>
        <v>..</v>
      </c>
      <c r="I35" s="1250"/>
      <c r="J35" s="1250"/>
    </row>
    <row r="36" spans="2:10" s="329" customFormat="1">
      <c r="B36" s="655" t="s">
        <v>76</v>
      </c>
      <c r="C36" s="287">
        <v>0</v>
      </c>
      <c r="D36" s="287">
        <v>5</v>
      </c>
      <c r="E36" s="287">
        <v>4</v>
      </c>
      <c r="F36" s="288">
        <f>(Table55202469298116[[#This Row],[Persons 2016]]/$C$17)</f>
        <v>4.2553191489361701E-2</v>
      </c>
      <c r="G36" s="288" t="s">
        <v>94</v>
      </c>
      <c r="H36" s="288" t="str">
        <f>IFERROR((Table55202469298116[[#This Row],[Persons 2016]]-Table55202469298116[[#This Row],[Persons 2011]])/Table55202469298116[[#This Row],[Persons 2011]],"..")</f>
        <v>..</v>
      </c>
      <c r="I36" s="1250"/>
      <c r="J36" s="1250"/>
    </row>
    <row r="37" spans="2:10" s="329" customFormat="1">
      <c r="B37" s="907" t="s">
        <v>75</v>
      </c>
      <c r="C37" s="287">
        <v>3</v>
      </c>
      <c r="D37" s="287">
        <v>3</v>
      </c>
      <c r="E37" s="287">
        <v>4</v>
      </c>
      <c r="F37" s="288">
        <f>(Table55202469298116[[#This Row],[Persons 2016]]/$C$17)</f>
        <v>4.2553191489361701E-2</v>
      </c>
      <c r="G37" s="288" t="s">
        <v>94</v>
      </c>
      <c r="H37" s="288" t="str">
        <f>IFERROR((Table55202469298116[[#This Row],[Persons 2016]]-Table55202469298116[[#This Row],[Persons 2011]])/Table55202469298116[[#This Row],[Persons 2011]],"..")</f>
        <v>..</v>
      </c>
      <c r="I37" s="1250"/>
      <c r="J37" s="1250"/>
    </row>
    <row r="38" spans="2:10" s="329" customFormat="1">
      <c r="B38" s="655" t="s">
        <v>87</v>
      </c>
      <c r="C38" s="287">
        <v>0</v>
      </c>
      <c r="D38" s="287">
        <v>4</v>
      </c>
      <c r="E38" s="287">
        <v>4</v>
      </c>
      <c r="F38" s="288">
        <f>(Table55202469298116[[#This Row],[Persons 2016]]/$C$17)</f>
        <v>4.2553191489361701E-2</v>
      </c>
      <c r="G38" s="288" t="s">
        <v>94</v>
      </c>
      <c r="H38" s="288" t="str">
        <f>IFERROR((Table55202469298116[[#This Row],[Persons 2016]]-Table55202469298116[[#This Row],[Persons 2011]])/Table55202469298116[[#This Row],[Persons 2011]],"..")</f>
        <v>..</v>
      </c>
      <c r="I38" s="1250"/>
      <c r="J38" s="1250"/>
    </row>
    <row r="39" spans="2:10">
      <c r="B39" s="907" t="s">
        <v>136</v>
      </c>
      <c r="C39" s="287">
        <v>0</v>
      </c>
      <c r="D39" s="287">
        <v>0</v>
      </c>
      <c r="E39" s="287">
        <v>3</v>
      </c>
      <c r="F39" s="288">
        <f>(Table55202469298116[[#This Row],[Persons 2016]]/$C$17)</f>
        <v>3.1914893617021274E-2</v>
      </c>
      <c r="G39" s="288" t="s">
        <v>94</v>
      </c>
      <c r="H39" s="288" t="str">
        <f>IFERROR((Table55202469298116[[#This Row],[Persons 2016]]-Table55202469298116[[#This Row],[Persons 2011]])/Table55202469298116[[#This Row],[Persons 2011]],"..")</f>
        <v>..</v>
      </c>
      <c r="I39" s="1241"/>
      <c r="J39" s="1241"/>
    </row>
    <row r="40" spans="2:10">
      <c r="B40" s="907" t="s">
        <v>91</v>
      </c>
      <c r="C40" s="287">
        <v>3</v>
      </c>
      <c r="D40" s="287">
        <v>0</v>
      </c>
      <c r="E40" s="287">
        <v>3</v>
      </c>
      <c r="F40" s="288">
        <f>(Table55202469298116[[#This Row],[Persons 2016]]/$C$17)</f>
        <v>3.1914893617021274E-2</v>
      </c>
      <c r="G40" s="288" t="s">
        <v>94</v>
      </c>
      <c r="H40" s="288" t="str">
        <f>IFERROR((Table55202469298116[[#This Row],[Persons 2016]]-Table55202469298116[[#This Row],[Persons 2011]])/Table55202469298116[[#This Row],[Persons 2011]],"..")</f>
        <v>..</v>
      </c>
      <c r="I40" s="1241"/>
      <c r="J40" s="1241"/>
    </row>
    <row r="41" spans="2:10">
      <c r="B41" s="655" t="s">
        <v>369</v>
      </c>
      <c r="C41" s="287">
        <f>C42-SUM(C31:C40)</f>
        <v>13</v>
      </c>
      <c r="D41" s="287">
        <f t="shared" ref="D41:E41" si="1">D42-SUM(D31:D40)</f>
        <v>19</v>
      </c>
      <c r="E41" s="287">
        <f t="shared" si="1"/>
        <v>18</v>
      </c>
      <c r="F41" s="656">
        <f>(Table55202469298116[[#This Row],[Persons 2016]]/$C$17)</f>
        <v>0.19148936170212766</v>
      </c>
      <c r="G41" s="288" t="s">
        <v>94</v>
      </c>
      <c r="H41" s="656" t="str">
        <f>IFERROR((Table55202469298116[[#This Row],[Persons 2016]]-Table55202469298116[[#This Row],[Persons 2011]])/Table55202469298116[[#This Row],[Persons 2011]],"..")</f>
        <v>..</v>
      </c>
      <c r="I41" s="1241"/>
      <c r="J41" s="1241"/>
    </row>
    <row r="42" spans="2:10">
      <c r="B42" s="522" t="s">
        <v>21</v>
      </c>
      <c r="C42" s="1114">
        <v>42</v>
      </c>
      <c r="D42" s="1114">
        <v>54</v>
      </c>
      <c r="E42" s="1114">
        <f>C17</f>
        <v>94</v>
      </c>
      <c r="F42" s="1115">
        <f>(Table55202469298116[[#This Row],[Persons 2016]]/$C$17)</f>
        <v>1</v>
      </c>
      <c r="G42" s="1116">
        <f>E17</f>
        <v>102</v>
      </c>
      <c r="H42" s="1117">
        <f>IFERROR((Table55202469298116[[#This Row],[Persons 2016]]-Table55202469298116[[#This Row],[Persons 2011]])/Table55202469298116[[#This Row],[Persons 2011]],"..")</f>
        <v>-7.8431372549019607E-2</v>
      </c>
      <c r="I42" s="1242"/>
      <c r="J42" s="1242"/>
    </row>
    <row r="43" spans="2:10" s="329" customFormat="1">
      <c r="B43" s="349" t="s">
        <v>366</v>
      </c>
    </row>
    <row r="45" spans="2:10" ht="23.25">
      <c r="B45" s="127" t="s">
        <v>776</v>
      </c>
    </row>
    <row r="46" spans="2:10" ht="15.75">
      <c r="B46" s="138" t="s">
        <v>832</v>
      </c>
    </row>
    <row r="47" spans="2:10">
      <c r="B47" s="149" t="s">
        <v>843</v>
      </c>
    </row>
    <row r="48" spans="2:10">
      <c r="B48" s="266" t="s">
        <v>14</v>
      </c>
      <c r="C48" s="139" t="s">
        <v>23</v>
      </c>
      <c r="D48" s="139" t="s">
        <v>24</v>
      </c>
      <c r="E48" s="139" t="s">
        <v>25</v>
      </c>
      <c r="F48" s="139" t="s">
        <v>26</v>
      </c>
      <c r="G48" s="139" t="s">
        <v>27</v>
      </c>
      <c r="H48" s="267" t="s">
        <v>28</v>
      </c>
    </row>
    <row r="49" spans="2:8">
      <c r="B49" s="292" t="s">
        <v>73</v>
      </c>
      <c r="C49" s="155">
        <v>0</v>
      </c>
      <c r="D49" s="155">
        <v>0</v>
      </c>
      <c r="E49" s="155">
        <v>8</v>
      </c>
      <c r="F49" s="668">
        <v>12</v>
      </c>
      <c r="G49" s="155">
        <v>5</v>
      </c>
      <c r="H49" s="911">
        <v>22</v>
      </c>
    </row>
    <row r="50" spans="2:8">
      <c r="B50" s="912" t="s">
        <v>92</v>
      </c>
      <c r="C50" s="158">
        <v>0</v>
      </c>
      <c r="D50" s="158">
        <v>3</v>
      </c>
      <c r="E50" s="158">
        <v>0</v>
      </c>
      <c r="F50" s="671">
        <v>4</v>
      </c>
      <c r="G50" s="158">
        <v>5</v>
      </c>
      <c r="H50" s="913">
        <v>17</v>
      </c>
    </row>
    <row r="51" spans="2:8">
      <c r="B51" s="914" t="s">
        <v>74</v>
      </c>
      <c r="C51" s="155">
        <v>0</v>
      </c>
      <c r="D51" s="155">
        <v>0</v>
      </c>
      <c r="E51" s="155">
        <v>0</v>
      </c>
      <c r="F51" s="668">
        <v>4</v>
      </c>
      <c r="G51" s="155">
        <v>0</v>
      </c>
      <c r="H51" s="915">
        <v>9</v>
      </c>
    </row>
    <row r="52" spans="2:8">
      <c r="B52" s="294" t="s">
        <v>126</v>
      </c>
      <c r="C52" s="158">
        <v>0</v>
      </c>
      <c r="D52" s="158">
        <v>0</v>
      </c>
      <c r="E52" s="158">
        <v>0</v>
      </c>
      <c r="F52" s="671">
        <v>0</v>
      </c>
      <c r="G52" s="158">
        <v>5</v>
      </c>
      <c r="H52" s="913">
        <v>5</v>
      </c>
    </row>
    <row r="53" spans="2:8">
      <c r="B53" s="292" t="s">
        <v>78</v>
      </c>
      <c r="C53" s="155">
        <v>0</v>
      </c>
      <c r="D53" s="155">
        <v>0</v>
      </c>
      <c r="E53" s="155">
        <v>0</v>
      </c>
      <c r="F53" s="668">
        <v>0</v>
      </c>
      <c r="G53" s="155">
        <v>0</v>
      </c>
      <c r="H53" s="915">
        <v>5</v>
      </c>
    </row>
    <row r="54" spans="2:8">
      <c r="B54" s="912" t="s">
        <v>76</v>
      </c>
      <c r="C54" s="158">
        <v>0</v>
      </c>
      <c r="D54" s="158">
        <v>0</v>
      </c>
      <c r="E54" s="158">
        <v>0</v>
      </c>
      <c r="F54" s="671">
        <v>5</v>
      </c>
      <c r="G54" s="158">
        <v>0</v>
      </c>
      <c r="H54" s="913">
        <v>4</v>
      </c>
    </row>
    <row r="55" spans="2:8">
      <c r="B55" s="292" t="s">
        <v>75</v>
      </c>
      <c r="C55" s="155">
        <v>0</v>
      </c>
      <c r="D55" s="155">
        <v>0</v>
      </c>
      <c r="E55" s="155">
        <v>0</v>
      </c>
      <c r="F55" s="668">
        <v>0</v>
      </c>
      <c r="G55" s="155">
        <v>0</v>
      </c>
      <c r="H55" s="915">
        <v>4</v>
      </c>
    </row>
    <row r="56" spans="2:8">
      <c r="B56" s="912" t="s">
        <v>87</v>
      </c>
      <c r="C56" s="158">
        <v>0</v>
      </c>
      <c r="D56" s="158">
        <v>0</v>
      </c>
      <c r="E56" s="158">
        <v>0</v>
      </c>
      <c r="F56" s="671">
        <v>0</v>
      </c>
      <c r="G56" s="158">
        <v>0</v>
      </c>
      <c r="H56" s="913">
        <v>4</v>
      </c>
    </row>
    <row r="57" spans="2:8">
      <c r="B57" s="292" t="s">
        <v>136</v>
      </c>
      <c r="C57" s="155">
        <v>0</v>
      </c>
      <c r="D57" s="155">
        <v>0</v>
      </c>
      <c r="E57" s="155">
        <v>0</v>
      </c>
      <c r="F57" s="668">
        <v>0</v>
      </c>
      <c r="G57" s="155">
        <v>4</v>
      </c>
      <c r="H57" s="915">
        <v>3</v>
      </c>
    </row>
    <row r="58" spans="2:8">
      <c r="B58" s="294" t="s">
        <v>91</v>
      </c>
      <c r="C58" s="158">
        <v>0</v>
      </c>
      <c r="D58" s="158">
        <v>0</v>
      </c>
      <c r="E58" s="158">
        <v>0</v>
      </c>
      <c r="F58" s="671">
        <v>0</v>
      </c>
      <c r="G58" s="158">
        <v>0</v>
      </c>
      <c r="H58" s="913">
        <v>3</v>
      </c>
    </row>
    <row r="59" spans="2:8">
      <c r="B59" s="297" t="s">
        <v>29</v>
      </c>
      <c r="C59" s="141">
        <v>692</v>
      </c>
      <c r="D59" s="141">
        <v>411</v>
      </c>
      <c r="E59" s="141">
        <v>613</v>
      </c>
      <c r="F59" s="141">
        <v>457</v>
      </c>
      <c r="G59" s="141">
        <v>139</v>
      </c>
      <c r="H59" s="278">
        <v>2311</v>
      </c>
    </row>
    <row r="60" spans="2:8">
      <c r="B60" s="298" t="s">
        <v>30</v>
      </c>
      <c r="C60" s="142">
        <v>0</v>
      </c>
      <c r="D60" s="142">
        <v>8</v>
      </c>
      <c r="E60" s="142">
        <v>11</v>
      </c>
      <c r="F60" s="142">
        <v>23</v>
      </c>
      <c r="G60" s="679">
        <v>11</v>
      </c>
      <c r="H60" s="280">
        <v>56</v>
      </c>
    </row>
    <row r="61" spans="2:8">
      <c r="B61" s="299" t="s">
        <v>31</v>
      </c>
      <c r="C61" s="282">
        <v>0</v>
      </c>
      <c r="D61" s="282">
        <v>4</v>
      </c>
      <c r="E61" s="282">
        <v>9</v>
      </c>
      <c r="F61" s="282">
        <v>13</v>
      </c>
      <c r="G61" s="282">
        <v>9</v>
      </c>
      <c r="H61" s="283">
        <v>43</v>
      </c>
    </row>
    <row r="63" spans="2:8" ht="23.25">
      <c r="B63" s="127" t="s">
        <v>777</v>
      </c>
    </row>
    <row r="64" spans="2:8" ht="15.75">
      <c r="B64" s="138" t="s">
        <v>833</v>
      </c>
    </row>
    <row r="65" spans="2:8">
      <c r="B65" s="149" t="s">
        <v>843</v>
      </c>
    </row>
    <row r="66" spans="2:8">
      <c r="B66" s="266" t="s">
        <v>14</v>
      </c>
      <c r="C66" s="144" t="s">
        <v>23</v>
      </c>
      <c r="D66" s="144" t="s">
        <v>24</v>
      </c>
      <c r="E66" s="144" t="s">
        <v>25</v>
      </c>
      <c r="F66" s="144" t="s">
        <v>26</v>
      </c>
      <c r="G66" s="144" t="s">
        <v>27</v>
      </c>
      <c r="H66" s="421" t="s">
        <v>28</v>
      </c>
    </row>
    <row r="67" spans="2:8">
      <c r="B67" s="292" t="str">
        <f t="shared" ref="B67:B76" si="2">B49</f>
        <v>New Zealand</v>
      </c>
      <c r="C67" s="64">
        <f t="shared" ref="C67:C79" si="3">SUM(C49/H49)</f>
        <v>0</v>
      </c>
      <c r="D67" s="64">
        <f t="shared" ref="D67:D79" si="4">SUM(D49/H49)</f>
        <v>0</v>
      </c>
      <c r="E67" s="64">
        <f t="shared" ref="E67:E79" si="5">SUM(E49/H49)</f>
        <v>0.36363636363636365</v>
      </c>
      <c r="F67" s="64">
        <f>SUM(F49/$H$49)</f>
        <v>0.54545454545454541</v>
      </c>
      <c r="G67" s="64">
        <f t="shared" ref="G67:G79" si="6">SUM(G49/H49)</f>
        <v>0.22727272727272727</v>
      </c>
      <c r="H67" s="293">
        <f t="shared" ref="H67:H79" si="7">H49</f>
        <v>22</v>
      </c>
    </row>
    <row r="68" spans="2:8">
      <c r="B68" s="294" t="str">
        <f t="shared" si="2"/>
        <v>England</v>
      </c>
      <c r="C68" s="54">
        <f t="shared" si="3"/>
        <v>0</v>
      </c>
      <c r="D68" s="54">
        <f t="shared" si="4"/>
        <v>0.17647058823529413</v>
      </c>
      <c r="E68" s="54">
        <f t="shared" si="5"/>
        <v>0</v>
      </c>
      <c r="F68" s="54">
        <f t="shared" ref="F68:F79" si="8">SUM(F50/H50)</f>
        <v>0.23529411764705882</v>
      </c>
      <c r="G68" s="54">
        <f t="shared" si="6"/>
        <v>0.29411764705882354</v>
      </c>
      <c r="H68" s="295">
        <f t="shared" si="7"/>
        <v>17</v>
      </c>
    </row>
    <row r="69" spans="2:8">
      <c r="B69" s="292" t="str">
        <f t="shared" si="2"/>
        <v>United States of America</v>
      </c>
      <c r="C69" s="64">
        <f t="shared" si="3"/>
        <v>0</v>
      </c>
      <c r="D69" s="64">
        <f t="shared" si="4"/>
        <v>0</v>
      </c>
      <c r="E69" s="64">
        <f t="shared" si="5"/>
        <v>0</v>
      </c>
      <c r="F69" s="64">
        <f t="shared" si="8"/>
        <v>0.44444444444444442</v>
      </c>
      <c r="G69" s="64">
        <f t="shared" si="6"/>
        <v>0</v>
      </c>
      <c r="H69" s="296">
        <f t="shared" si="7"/>
        <v>9</v>
      </c>
    </row>
    <row r="70" spans="2:8">
      <c r="B70" s="294" t="str">
        <f t="shared" si="2"/>
        <v>Greece</v>
      </c>
      <c r="C70" s="54">
        <f t="shared" si="3"/>
        <v>0</v>
      </c>
      <c r="D70" s="54">
        <f t="shared" si="4"/>
        <v>0</v>
      </c>
      <c r="E70" s="54">
        <f t="shared" si="5"/>
        <v>0</v>
      </c>
      <c r="F70" s="54">
        <f t="shared" si="8"/>
        <v>0</v>
      </c>
      <c r="G70" s="54">
        <f t="shared" si="6"/>
        <v>1</v>
      </c>
      <c r="H70" s="295">
        <f t="shared" si="7"/>
        <v>5</v>
      </c>
    </row>
    <row r="71" spans="2:8">
      <c r="B71" s="292" t="str">
        <f t="shared" si="2"/>
        <v>South Africa</v>
      </c>
      <c r="C71" s="64">
        <f t="shared" si="3"/>
        <v>0</v>
      </c>
      <c r="D71" s="64">
        <f t="shared" si="4"/>
        <v>0</v>
      </c>
      <c r="E71" s="64">
        <f t="shared" si="5"/>
        <v>0</v>
      </c>
      <c r="F71" s="64">
        <f t="shared" si="8"/>
        <v>0</v>
      </c>
      <c r="G71" s="64">
        <f t="shared" si="6"/>
        <v>0</v>
      </c>
      <c r="H71" s="296">
        <f t="shared" si="7"/>
        <v>5</v>
      </c>
    </row>
    <row r="72" spans="2:8">
      <c r="B72" s="294" t="str">
        <f t="shared" si="2"/>
        <v>Philippines</v>
      </c>
      <c r="C72" s="54">
        <f t="shared" si="3"/>
        <v>0</v>
      </c>
      <c r="D72" s="54">
        <f t="shared" si="4"/>
        <v>0</v>
      </c>
      <c r="E72" s="54">
        <f t="shared" si="5"/>
        <v>0</v>
      </c>
      <c r="F72" s="54">
        <f t="shared" si="8"/>
        <v>1.25</v>
      </c>
      <c r="G72" s="54">
        <f t="shared" si="6"/>
        <v>0</v>
      </c>
      <c r="H72" s="295">
        <f t="shared" si="7"/>
        <v>4</v>
      </c>
    </row>
    <row r="73" spans="2:8">
      <c r="B73" s="292" t="str">
        <f t="shared" si="2"/>
        <v>India</v>
      </c>
      <c r="C73" s="64">
        <f t="shared" si="3"/>
        <v>0</v>
      </c>
      <c r="D73" s="64">
        <f t="shared" si="4"/>
        <v>0</v>
      </c>
      <c r="E73" s="64">
        <f t="shared" si="5"/>
        <v>0</v>
      </c>
      <c r="F73" s="64">
        <f t="shared" si="8"/>
        <v>0</v>
      </c>
      <c r="G73" s="64">
        <f t="shared" si="6"/>
        <v>0</v>
      </c>
      <c r="H73" s="296">
        <f t="shared" si="7"/>
        <v>4</v>
      </c>
    </row>
    <row r="74" spans="2:8">
      <c r="B74" s="294" t="str">
        <f t="shared" si="2"/>
        <v>Canada</v>
      </c>
      <c r="C74" s="54">
        <f t="shared" si="3"/>
        <v>0</v>
      </c>
      <c r="D74" s="54">
        <f t="shared" si="4"/>
        <v>0</v>
      </c>
      <c r="E74" s="54">
        <f t="shared" si="5"/>
        <v>0</v>
      </c>
      <c r="F74" s="54">
        <f t="shared" si="8"/>
        <v>0</v>
      </c>
      <c r="G74" s="54">
        <f t="shared" si="6"/>
        <v>0</v>
      </c>
      <c r="H74" s="295">
        <f t="shared" si="7"/>
        <v>4</v>
      </c>
    </row>
    <row r="75" spans="2:8">
      <c r="B75" s="292" t="str">
        <f t="shared" si="2"/>
        <v>Austria</v>
      </c>
      <c r="C75" s="64">
        <f t="shared" si="3"/>
        <v>0</v>
      </c>
      <c r="D75" s="64">
        <f t="shared" si="4"/>
        <v>0</v>
      </c>
      <c r="E75" s="64">
        <f t="shared" si="5"/>
        <v>0</v>
      </c>
      <c r="F75" s="64">
        <f t="shared" si="8"/>
        <v>0</v>
      </c>
      <c r="G75" s="64">
        <f t="shared" si="6"/>
        <v>1.3333333333333333</v>
      </c>
      <c r="H75" s="296">
        <f t="shared" si="7"/>
        <v>3</v>
      </c>
    </row>
    <row r="76" spans="2:8">
      <c r="B76" s="294" t="str">
        <f t="shared" si="2"/>
        <v>Indonesia</v>
      </c>
      <c r="C76" s="54">
        <f t="shared" si="3"/>
        <v>0</v>
      </c>
      <c r="D76" s="54">
        <f t="shared" si="4"/>
        <v>0</v>
      </c>
      <c r="E76" s="54">
        <f t="shared" si="5"/>
        <v>0</v>
      </c>
      <c r="F76" s="54">
        <f t="shared" si="8"/>
        <v>0</v>
      </c>
      <c r="G76" s="54">
        <f t="shared" si="6"/>
        <v>0</v>
      </c>
      <c r="H76" s="295">
        <f t="shared" si="7"/>
        <v>3</v>
      </c>
    </row>
    <row r="77" spans="2:8">
      <c r="B77" s="297" t="s">
        <v>29</v>
      </c>
      <c r="C77" s="70">
        <f t="shared" si="3"/>
        <v>0.29943747295543055</v>
      </c>
      <c r="D77" s="70">
        <f t="shared" si="4"/>
        <v>0.17784508870618779</v>
      </c>
      <c r="E77" s="70">
        <f t="shared" si="5"/>
        <v>0.26525313717005627</v>
      </c>
      <c r="F77" s="70">
        <f t="shared" si="8"/>
        <v>0.1977498918217222</v>
      </c>
      <c r="G77" s="70">
        <f t="shared" si="6"/>
        <v>6.0147122457810474E-2</v>
      </c>
      <c r="H77" s="278">
        <f t="shared" si="7"/>
        <v>2311</v>
      </c>
    </row>
    <row r="78" spans="2:8">
      <c r="B78" s="298" t="s">
        <v>30</v>
      </c>
      <c r="C78" s="73">
        <f t="shared" si="3"/>
        <v>0</v>
      </c>
      <c r="D78" s="73">
        <f t="shared" si="4"/>
        <v>0.14285714285714285</v>
      </c>
      <c r="E78" s="73">
        <f t="shared" si="5"/>
        <v>0.19642857142857142</v>
      </c>
      <c r="F78" s="73">
        <f t="shared" si="8"/>
        <v>0.4107142857142857</v>
      </c>
      <c r="G78" s="73">
        <f t="shared" si="6"/>
        <v>0.19642857142857142</v>
      </c>
      <c r="H78" s="280">
        <f t="shared" si="7"/>
        <v>56</v>
      </c>
    </row>
    <row r="79" spans="2:8">
      <c r="B79" s="299" t="s">
        <v>31</v>
      </c>
      <c r="C79" s="300">
        <f t="shared" si="3"/>
        <v>0</v>
      </c>
      <c r="D79" s="300">
        <f t="shared" si="4"/>
        <v>9.3023255813953487E-2</v>
      </c>
      <c r="E79" s="300">
        <f t="shared" si="5"/>
        <v>0.20930232558139536</v>
      </c>
      <c r="F79" s="300">
        <f t="shared" si="8"/>
        <v>0.30232558139534882</v>
      </c>
      <c r="G79" s="300">
        <f t="shared" si="6"/>
        <v>0.20930232558139536</v>
      </c>
      <c r="H79" s="283">
        <f t="shared" si="7"/>
        <v>43</v>
      </c>
    </row>
    <row r="81" spans="2:8" ht="23.25">
      <c r="B81" s="127" t="s">
        <v>778</v>
      </c>
    </row>
    <row r="82" spans="2:8" ht="15.75">
      <c r="B82" s="150" t="s">
        <v>844</v>
      </c>
    </row>
    <row r="83" spans="2:8">
      <c r="B83" s="149" t="s">
        <v>845</v>
      </c>
    </row>
    <row r="84" spans="2:8">
      <c r="B84" s="151" t="s">
        <v>14</v>
      </c>
      <c r="C84" s="152" t="s">
        <v>32</v>
      </c>
      <c r="D84" s="152" t="s">
        <v>33</v>
      </c>
      <c r="E84" s="152" t="s">
        <v>34</v>
      </c>
      <c r="F84" s="152" t="s">
        <v>35</v>
      </c>
      <c r="G84" s="152">
        <v>2016</v>
      </c>
      <c r="H84" s="153" t="s">
        <v>28</v>
      </c>
    </row>
    <row r="85" spans="2:8" ht="10.5" customHeight="1">
      <c r="B85" s="154" t="s">
        <v>73</v>
      </c>
      <c r="C85" s="155">
        <v>11</v>
      </c>
      <c r="D85" s="155">
        <v>0</v>
      </c>
      <c r="E85" s="155">
        <v>0</v>
      </c>
      <c r="F85" s="156">
        <v>9</v>
      </c>
      <c r="G85" s="155">
        <v>0</v>
      </c>
      <c r="H85" s="157">
        <v>22</v>
      </c>
    </row>
    <row r="86" spans="2:8">
      <c r="B86" s="66" t="s">
        <v>92</v>
      </c>
      <c r="C86" s="158">
        <v>7</v>
      </c>
      <c r="D86" s="158">
        <v>4</v>
      </c>
      <c r="E86" s="158">
        <v>0</v>
      </c>
      <c r="F86" s="159">
        <v>3</v>
      </c>
      <c r="G86" s="158">
        <v>0</v>
      </c>
      <c r="H86" s="160">
        <v>17</v>
      </c>
    </row>
    <row r="87" spans="2:8">
      <c r="B87" s="63" t="s">
        <v>74</v>
      </c>
      <c r="C87" s="155">
        <v>4</v>
      </c>
      <c r="D87" s="155">
        <v>0</v>
      </c>
      <c r="E87" s="155">
        <v>0</v>
      </c>
      <c r="F87" s="156">
        <v>5</v>
      </c>
      <c r="G87" s="155">
        <v>0</v>
      </c>
      <c r="H87" s="161">
        <v>9</v>
      </c>
    </row>
    <row r="88" spans="2:8">
      <c r="B88" s="162" t="s">
        <v>126</v>
      </c>
      <c r="C88" s="158">
        <v>0</v>
      </c>
      <c r="D88" s="158">
        <v>0</v>
      </c>
      <c r="E88" s="158">
        <v>0</v>
      </c>
      <c r="F88" s="159">
        <v>0</v>
      </c>
      <c r="G88" s="158">
        <v>0</v>
      </c>
      <c r="H88" s="160">
        <v>5</v>
      </c>
    </row>
    <row r="89" spans="2:8">
      <c r="B89" s="154" t="s">
        <v>78</v>
      </c>
      <c r="C89" s="155">
        <v>0</v>
      </c>
      <c r="D89" s="155">
        <v>0</v>
      </c>
      <c r="E89" s="155">
        <v>0</v>
      </c>
      <c r="F89" s="156">
        <v>0</v>
      </c>
      <c r="G89" s="155">
        <v>0</v>
      </c>
      <c r="H89" s="161">
        <v>5</v>
      </c>
    </row>
    <row r="90" spans="2:8">
      <c r="B90" s="66" t="s">
        <v>76</v>
      </c>
      <c r="C90" s="158">
        <v>0</v>
      </c>
      <c r="D90" s="158">
        <v>0</v>
      </c>
      <c r="E90" s="158">
        <v>0</v>
      </c>
      <c r="F90" s="159">
        <v>3</v>
      </c>
      <c r="G90" s="158">
        <v>0</v>
      </c>
      <c r="H90" s="160">
        <v>4</v>
      </c>
    </row>
    <row r="91" spans="2:8">
      <c r="B91" s="63" t="s">
        <v>75</v>
      </c>
      <c r="C91" s="155">
        <v>0</v>
      </c>
      <c r="D91" s="155">
        <v>4</v>
      </c>
      <c r="E91" s="155">
        <v>0</v>
      </c>
      <c r="F91" s="156">
        <v>0</v>
      </c>
      <c r="G91" s="155">
        <v>0</v>
      </c>
      <c r="H91" s="161">
        <v>4</v>
      </c>
    </row>
    <row r="92" spans="2:8">
      <c r="B92" s="162" t="s">
        <v>87</v>
      </c>
      <c r="C92" s="158">
        <v>0</v>
      </c>
      <c r="D92" s="158">
        <v>0</v>
      </c>
      <c r="E92" s="158">
        <v>0</v>
      </c>
      <c r="F92" s="159">
        <v>0</v>
      </c>
      <c r="G92" s="158">
        <v>0</v>
      </c>
      <c r="H92" s="160">
        <v>4</v>
      </c>
    </row>
    <row r="93" spans="2:8">
      <c r="B93" s="63" t="s">
        <v>136</v>
      </c>
      <c r="C93" s="155">
        <v>3</v>
      </c>
      <c r="D93" s="155">
        <v>0</v>
      </c>
      <c r="E93" s="155">
        <v>0</v>
      </c>
      <c r="F93" s="156">
        <v>0</v>
      </c>
      <c r="G93" s="155">
        <v>0</v>
      </c>
      <c r="H93" s="161">
        <v>3</v>
      </c>
    </row>
    <row r="94" spans="2:8">
      <c r="B94" s="162" t="s">
        <v>91</v>
      </c>
      <c r="C94" s="158">
        <v>0</v>
      </c>
      <c r="D94" s="158">
        <v>0</v>
      </c>
      <c r="E94" s="158">
        <v>0</v>
      </c>
      <c r="F94" s="159">
        <v>0</v>
      </c>
      <c r="G94" s="158">
        <v>0</v>
      </c>
      <c r="H94" s="160">
        <v>3</v>
      </c>
    </row>
    <row r="95" spans="2:8">
      <c r="B95" s="163" t="s">
        <v>30</v>
      </c>
      <c r="C95" s="163">
        <v>25</v>
      </c>
      <c r="D95" s="163">
        <v>4</v>
      </c>
      <c r="E95" s="163">
        <v>0</v>
      </c>
      <c r="F95" s="163">
        <v>19</v>
      </c>
      <c r="G95" s="164">
        <v>0</v>
      </c>
      <c r="H95" s="165">
        <f>C19</f>
        <v>56</v>
      </c>
    </row>
    <row r="96" spans="2:8">
      <c r="B96" s="166" t="s">
        <v>31</v>
      </c>
      <c r="C96" s="166">
        <v>13</v>
      </c>
      <c r="D96" s="166">
        <v>7</v>
      </c>
      <c r="E96" s="166">
        <v>5</v>
      </c>
      <c r="F96" s="166">
        <v>10</v>
      </c>
      <c r="G96" s="167">
        <v>4</v>
      </c>
      <c r="H96" s="168">
        <f>C20</f>
        <v>43</v>
      </c>
    </row>
    <row r="97" spans="2:20" ht="23.25">
      <c r="B97" s="127"/>
    </row>
    <row r="98" spans="2:20" ht="23.25">
      <c r="B98" s="127" t="s">
        <v>779</v>
      </c>
    </row>
    <row r="99" spans="2:20" ht="15.75">
      <c r="B99" s="150" t="s">
        <v>846</v>
      </c>
    </row>
    <row r="100" spans="2:20">
      <c r="B100" s="149" t="s">
        <v>845</v>
      </c>
      <c r="J100" s="169"/>
      <c r="K100" s="170"/>
      <c r="L100" s="170"/>
      <c r="M100" s="170"/>
      <c r="N100" s="170"/>
    </row>
    <row r="101" spans="2:20">
      <c r="B101" s="151" t="s">
        <v>14</v>
      </c>
      <c r="C101" s="152" t="s">
        <v>32</v>
      </c>
      <c r="D101" s="152" t="s">
        <v>33</v>
      </c>
      <c r="E101" s="152" t="s">
        <v>34</v>
      </c>
      <c r="F101" s="152" t="s">
        <v>35</v>
      </c>
      <c r="G101" s="152">
        <v>2016</v>
      </c>
      <c r="H101" s="153" t="s">
        <v>28</v>
      </c>
      <c r="J101" s="169"/>
      <c r="K101" s="170"/>
      <c r="L101" s="170"/>
      <c r="M101" s="170"/>
      <c r="N101" s="170"/>
    </row>
    <row r="102" spans="2:20">
      <c r="B102" s="63" t="str">
        <f t="shared" ref="B102:B111" si="9">B85</f>
        <v>New Zealand</v>
      </c>
      <c r="C102" s="64">
        <f t="shared" ref="C102:C113" si="10">IFERROR(C85/H85,"-")</f>
        <v>0.5</v>
      </c>
      <c r="D102" s="64">
        <f t="shared" ref="D102:D113" si="11">IFERROR(D85/H85,"-")</f>
        <v>0</v>
      </c>
      <c r="E102" s="64">
        <f t="shared" ref="E102:E113" si="12">IFERROR(E85/H85,"-")</f>
        <v>0</v>
      </c>
      <c r="F102" s="64">
        <f t="shared" ref="F102:F113" si="13">IFERROR(F85/H85,"-")</f>
        <v>0.40909090909090912</v>
      </c>
      <c r="G102" s="64">
        <f t="shared" ref="G102:G113" si="14">IFERROR(G85/H85,"-")</f>
        <v>0</v>
      </c>
      <c r="H102" s="78">
        <f t="shared" ref="H102:H113" si="15">H85</f>
        <v>22</v>
      </c>
      <c r="J102" s="169"/>
      <c r="K102" s="170"/>
      <c r="L102" s="170"/>
      <c r="M102" s="170"/>
      <c r="N102" s="170"/>
    </row>
    <row r="103" spans="2:20">
      <c r="B103" s="66" t="str">
        <f t="shared" si="9"/>
        <v>England</v>
      </c>
      <c r="C103" s="54">
        <f t="shared" si="10"/>
        <v>0.41176470588235292</v>
      </c>
      <c r="D103" s="54">
        <f t="shared" si="11"/>
        <v>0.23529411764705882</v>
      </c>
      <c r="E103" s="54">
        <f t="shared" si="12"/>
        <v>0</v>
      </c>
      <c r="F103" s="54">
        <f t="shared" si="13"/>
        <v>0.17647058823529413</v>
      </c>
      <c r="G103" s="54">
        <f t="shared" si="14"/>
        <v>0</v>
      </c>
      <c r="H103" s="79">
        <f t="shared" si="15"/>
        <v>17</v>
      </c>
      <c r="J103" s="169"/>
      <c r="K103" s="170"/>
      <c r="L103" s="170"/>
      <c r="M103" s="170"/>
      <c r="N103" s="170"/>
    </row>
    <row r="104" spans="2:20">
      <c r="B104" s="63" t="str">
        <f t="shared" si="9"/>
        <v>United States of America</v>
      </c>
      <c r="C104" s="64">
        <f t="shared" si="10"/>
        <v>0.44444444444444442</v>
      </c>
      <c r="D104" s="64">
        <f t="shared" si="11"/>
        <v>0</v>
      </c>
      <c r="E104" s="64">
        <f t="shared" si="12"/>
        <v>0</v>
      </c>
      <c r="F104" s="64">
        <f t="shared" si="13"/>
        <v>0.55555555555555558</v>
      </c>
      <c r="G104" s="64">
        <f t="shared" si="14"/>
        <v>0</v>
      </c>
      <c r="H104" s="80">
        <f t="shared" si="15"/>
        <v>9</v>
      </c>
      <c r="J104" s="169"/>
      <c r="K104" s="170"/>
      <c r="L104" s="170"/>
      <c r="M104" s="170"/>
      <c r="N104" s="170"/>
    </row>
    <row r="105" spans="2:20">
      <c r="B105" s="66" t="str">
        <f t="shared" si="9"/>
        <v>Greece</v>
      </c>
      <c r="C105" s="54">
        <f t="shared" si="10"/>
        <v>0</v>
      </c>
      <c r="D105" s="54">
        <f t="shared" si="11"/>
        <v>0</v>
      </c>
      <c r="E105" s="54">
        <f t="shared" si="12"/>
        <v>0</v>
      </c>
      <c r="F105" s="54">
        <f t="shared" si="13"/>
        <v>0</v>
      </c>
      <c r="G105" s="54">
        <f t="shared" si="14"/>
        <v>0</v>
      </c>
      <c r="H105" s="79">
        <f t="shared" si="15"/>
        <v>5</v>
      </c>
      <c r="J105" s="169"/>
      <c r="K105" s="170"/>
      <c r="L105" s="170"/>
      <c r="M105" s="170"/>
      <c r="N105" s="170"/>
    </row>
    <row r="106" spans="2:20">
      <c r="B106" s="63" t="str">
        <f t="shared" si="9"/>
        <v>South Africa</v>
      </c>
      <c r="C106" s="64">
        <f t="shared" si="10"/>
        <v>0</v>
      </c>
      <c r="D106" s="64">
        <f t="shared" si="11"/>
        <v>0</v>
      </c>
      <c r="E106" s="64">
        <f t="shared" si="12"/>
        <v>0</v>
      </c>
      <c r="F106" s="64">
        <f t="shared" si="13"/>
        <v>0</v>
      </c>
      <c r="G106" s="64">
        <f t="shared" si="14"/>
        <v>0</v>
      </c>
      <c r="H106" s="80">
        <f t="shared" si="15"/>
        <v>5</v>
      </c>
      <c r="J106" s="169"/>
      <c r="K106" s="170"/>
      <c r="L106" s="170"/>
      <c r="M106" s="170"/>
      <c r="N106" s="170"/>
    </row>
    <row r="107" spans="2:20">
      <c r="B107" s="66" t="str">
        <f t="shared" si="9"/>
        <v>Philippines</v>
      </c>
      <c r="C107" s="54">
        <f t="shared" si="10"/>
        <v>0</v>
      </c>
      <c r="D107" s="54">
        <f t="shared" si="11"/>
        <v>0</v>
      </c>
      <c r="E107" s="54">
        <f t="shared" si="12"/>
        <v>0</v>
      </c>
      <c r="F107" s="54">
        <f t="shared" si="13"/>
        <v>0.75</v>
      </c>
      <c r="G107" s="54">
        <f t="shared" si="14"/>
        <v>0</v>
      </c>
      <c r="H107" s="79">
        <f t="shared" si="15"/>
        <v>4</v>
      </c>
      <c r="J107" s="169"/>
      <c r="K107" s="170"/>
      <c r="L107" s="170"/>
      <c r="M107" s="170"/>
      <c r="N107" s="170"/>
    </row>
    <row r="108" spans="2:20">
      <c r="B108" s="63" t="str">
        <f t="shared" si="9"/>
        <v>India</v>
      </c>
      <c r="C108" s="64">
        <f t="shared" si="10"/>
        <v>0</v>
      </c>
      <c r="D108" s="64">
        <f t="shared" si="11"/>
        <v>1</v>
      </c>
      <c r="E108" s="64">
        <f t="shared" si="12"/>
        <v>0</v>
      </c>
      <c r="F108" s="64">
        <f t="shared" si="13"/>
        <v>0</v>
      </c>
      <c r="G108" s="64">
        <f t="shared" si="14"/>
        <v>0</v>
      </c>
      <c r="H108" s="80">
        <f t="shared" si="15"/>
        <v>4</v>
      </c>
      <c r="O108" s="170"/>
      <c r="P108" s="170"/>
      <c r="Q108" s="170"/>
      <c r="R108" s="170"/>
      <c r="S108" s="170"/>
      <c r="T108" s="170"/>
    </row>
    <row r="109" spans="2:20">
      <c r="B109" s="66" t="str">
        <f t="shared" si="9"/>
        <v>Canada</v>
      </c>
      <c r="C109" s="54">
        <f t="shared" si="10"/>
        <v>0</v>
      </c>
      <c r="D109" s="54">
        <f t="shared" si="11"/>
        <v>0</v>
      </c>
      <c r="E109" s="54">
        <f t="shared" si="12"/>
        <v>0</v>
      </c>
      <c r="F109" s="54">
        <f t="shared" si="13"/>
        <v>0</v>
      </c>
      <c r="G109" s="54">
        <f t="shared" si="14"/>
        <v>0</v>
      </c>
      <c r="H109" s="79">
        <f t="shared" si="15"/>
        <v>4</v>
      </c>
    </row>
    <row r="110" spans="2:20">
      <c r="B110" s="63" t="str">
        <f t="shared" si="9"/>
        <v>Austria</v>
      </c>
      <c r="C110" s="64">
        <f t="shared" si="10"/>
        <v>1</v>
      </c>
      <c r="D110" s="64">
        <f t="shared" si="11"/>
        <v>0</v>
      </c>
      <c r="E110" s="64">
        <f t="shared" si="12"/>
        <v>0</v>
      </c>
      <c r="F110" s="64">
        <f t="shared" si="13"/>
        <v>0</v>
      </c>
      <c r="G110" s="64">
        <f t="shared" si="14"/>
        <v>0</v>
      </c>
      <c r="H110" s="80">
        <f t="shared" si="15"/>
        <v>3</v>
      </c>
    </row>
    <row r="111" spans="2:20">
      <c r="B111" s="81" t="str">
        <f t="shared" si="9"/>
        <v>Indonesia</v>
      </c>
      <c r="C111" s="82">
        <f t="shared" si="10"/>
        <v>0</v>
      </c>
      <c r="D111" s="82">
        <f t="shared" si="11"/>
        <v>0</v>
      </c>
      <c r="E111" s="82">
        <f t="shared" si="12"/>
        <v>0</v>
      </c>
      <c r="F111" s="82">
        <f t="shared" si="13"/>
        <v>0</v>
      </c>
      <c r="G111" s="82">
        <f t="shared" si="14"/>
        <v>0</v>
      </c>
      <c r="H111" s="83">
        <f t="shared" si="15"/>
        <v>3</v>
      </c>
    </row>
    <row r="112" spans="2:20">
      <c r="B112" s="72" t="s">
        <v>30</v>
      </c>
      <c r="C112" s="73">
        <f t="shared" si="10"/>
        <v>0.44642857142857145</v>
      </c>
      <c r="D112" s="73">
        <f t="shared" si="11"/>
        <v>7.1428571428571425E-2</v>
      </c>
      <c r="E112" s="73">
        <f t="shared" si="12"/>
        <v>0</v>
      </c>
      <c r="F112" s="73">
        <f t="shared" si="13"/>
        <v>0.3392857142857143</v>
      </c>
      <c r="G112" s="73">
        <f t="shared" si="14"/>
        <v>0</v>
      </c>
      <c r="H112" s="171">
        <f t="shared" si="15"/>
        <v>56</v>
      </c>
    </row>
    <row r="113" spans="2:8">
      <c r="B113" s="75" t="s">
        <v>31</v>
      </c>
      <c r="C113" s="76">
        <f t="shared" si="10"/>
        <v>0.30232558139534882</v>
      </c>
      <c r="D113" s="76">
        <f t="shared" si="11"/>
        <v>0.16279069767441862</v>
      </c>
      <c r="E113" s="76">
        <f t="shared" si="12"/>
        <v>0.11627906976744186</v>
      </c>
      <c r="F113" s="76">
        <f t="shared" si="13"/>
        <v>0.23255813953488372</v>
      </c>
      <c r="G113" s="76">
        <f t="shared" si="14"/>
        <v>9.3023255813953487E-2</v>
      </c>
      <c r="H113" s="172">
        <f t="shared" si="15"/>
        <v>43</v>
      </c>
    </row>
    <row r="115" spans="2:8" ht="23.25">
      <c r="B115" s="127" t="s">
        <v>780</v>
      </c>
    </row>
    <row r="116" spans="2:8" ht="15.75">
      <c r="B116" s="150" t="s">
        <v>330</v>
      </c>
    </row>
    <row r="117" spans="2:8" ht="25.5">
      <c r="B117" s="173" t="s">
        <v>36</v>
      </c>
      <c r="C117" s="173" t="s">
        <v>37</v>
      </c>
      <c r="D117" s="173" t="s">
        <v>38</v>
      </c>
      <c r="E117" s="173" t="s">
        <v>6</v>
      </c>
      <c r="F117" s="173" t="s">
        <v>39</v>
      </c>
      <c r="G117" s="173" t="s">
        <v>7</v>
      </c>
      <c r="H117" s="173" t="s">
        <v>40</v>
      </c>
    </row>
    <row r="118" spans="2:8">
      <c r="B118" s="155" t="s">
        <v>95</v>
      </c>
      <c r="C118" s="103">
        <v>644</v>
      </c>
      <c r="D118" s="103">
        <v>663</v>
      </c>
      <c r="E118" s="103">
        <v>1307</v>
      </c>
      <c r="F118" s="224">
        <f>IFERROR(Table792226894100118[[#This Row],[Persons]]/$C$23,"..")</f>
        <v>0.95891415994130591</v>
      </c>
      <c r="G118" s="103" t="s">
        <v>94</v>
      </c>
      <c r="H118" s="64" t="str">
        <f t="shared" ref="H118:H128" si="16">IFERROR((E118-G118)/G118,"..")</f>
        <v>..</v>
      </c>
    </row>
    <row r="119" spans="2:8">
      <c r="B119" s="158" t="s">
        <v>146</v>
      </c>
      <c r="C119" s="106">
        <v>6</v>
      </c>
      <c r="D119" s="106">
        <v>3</v>
      </c>
      <c r="E119" s="106">
        <v>11</v>
      </c>
      <c r="F119" s="226">
        <f>IFERROR(Table792226894100118[[#This Row],[Persons]]/$C$23,"..")</f>
        <v>8.0704328686720464E-3</v>
      </c>
      <c r="G119" s="106" t="s">
        <v>94</v>
      </c>
      <c r="H119" s="54" t="str">
        <f t="shared" si="16"/>
        <v>..</v>
      </c>
    </row>
    <row r="120" spans="2:8">
      <c r="B120" s="155" t="s">
        <v>208</v>
      </c>
      <c r="C120" s="103">
        <v>0</v>
      </c>
      <c r="D120" s="103">
        <v>0</v>
      </c>
      <c r="E120" s="103">
        <v>6</v>
      </c>
      <c r="F120" s="224">
        <f>IFERROR(Table792226894100118[[#This Row],[Persons]]/$C$23,"..")</f>
        <v>4.4020542920029347E-3</v>
      </c>
      <c r="G120" s="103" t="s">
        <v>94</v>
      </c>
      <c r="H120" s="64" t="str">
        <f t="shared" si="16"/>
        <v>..</v>
      </c>
    </row>
    <row r="121" spans="2:8">
      <c r="B121" s="158" t="s">
        <v>97</v>
      </c>
      <c r="C121" s="106">
        <v>3</v>
      </c>
      <c r="D121" s="106">
        <v>3</v>
      </c>
      <c r="E121" s="106">
        <v>4</v>
      </c>
      <c r="F121" s="226">
        <f>IFERROR(Table792226894100118[[#This Row],[Persons]]/$C$23,"..")</f>
        <v>2.93470286133529E-3</v>
      </c>
      <c r="G121" s="106" t="s">
        <v>94</v>
      </c>
      <c r="H121" s="54" t="str">
        <f t="shared" si="16"/>
        <v>..</v>
      </c>
    </row>
    <row r="122" spans="2:8">
      <c r="B122" s="155" t="s">
        <v>98</v>
      </c>
      <c r="C122" s="103">
        <v>0</v>
      </c>
      <c r="D122" s="103">
        <v>0</v>
      </c>
      <c r="E122" s="103">
        <v>4</v>
      </c>
      <c r="F122" s="224">
        <f>IFERROR(Table792226894100118[[#This Row],[Persons]]/$C$23,"..")</f>
        <v>2.93470286133529E-3</v>
      </c>
      <c r="G122" s="103" t="s">
        <v>94</v>
      </c>
      <c r="H122" s="64" t="str">
        <f t="shared" si="16"/>
        <v>..</v>
      </c>
    </row>
    <row r="123" spans="2:8">
      <c r="B123" s="158" t="s">
        <v>195</v>
      </c>
      <c r="C123" s="106">
        <v>0</v>
      </c>
      <c r="D123" s="106">
        <v>4</v>
      </c>
      <c r="E123" s="106">
        <v>4</v>
      </c>
      <c r="F123" s="226">
        <f>IFERROR(Table792226894100118[[#This Row],[Persons]]/$C$23,"..")</f>
        <v>2.93470286133529E-3</v>
      </c>
      <c r="G123" s="106">
        <v>24</v>
      </c>
      <c r="H123" s="54">
        <f t="shared" si="16"/>
        <v>-0.83333333333333337</v>
      </c>
    </row>
    <row r="124" spans="2:8">
      <c r="B124" s="155" t="s">
        <v>190</v>
      </c>
      <c r="C124" s="103">
        <v>0</v>
      </c>
      <c r="D124" s="103">
        <v>0</v>
      </c>
      <c r="E124" s="103">
        <v>4</v>
      </c>
      <c r="F124" s="224">
        <f>IFERROR(Table792226894100118[[#This Row],[Persons]]/$C$23,"..")</f>
        <v>2.93470286133529E-3</v>
      </c>
      <c r="G124" s="103" t="s">
        <v>94</v>
      </c>
      <c r="H124" s="64" t="str">
        <f t="shared" si="16"/>
        <v>..</v>
      </c>
    </row>
    <row r="125" spans="2:8">
      <c r="B125" s="158" t="s">
        <v>105</v>
      </c>
      <c r="C125" s="106">
        <v>0</v>
      </c>
      <c r="D125" s="106">
        <v>0</v>
      </c>
      <c r="E125" s="106">
        <v>3</v>
      </c>
      <c r="F125" s="226">
        <f>IFERROR(Table792226894100118[[#This Row],[Persons]]/$C$23,"..")</f>
        <v>2.2010271460014674E-3</v>
      </c>
      <c r="G125" s="106" t="s">
        <v>94</v>
      </c>
      <c r="H125" s="54" t="str">
        <f t="shared" si="16"/>
        <v>..</v>
      </c>
    </row>
    <row r="126" spans="2:8">
      <c r="B126" s="155" t="s">
        <v>54</v>
      </c>
      <c r="C126" s="103">
        <v>0</v>
      </c>
      <c r="D126" s="103">
        <v>0</v>
      </c>
      <c r="E126" s="103">
        <v>3</v>
      </c>
      <c r="F126" s="224">
        <f>IFERROR(Table792226894100118[[#This Row],[Persons]]/$C$23,"..")</f>
        <v>2.2010271460014674E-3</v>
      </c>
      <c r="G126" s="103" t="s">
        <v>94</v>
      </c>
      <c r="H126" s="64" t="str">
        <f t="shared" si="16"/>
        <v>..</v>
      </c>
    </row>
    <row r="127" spans="2:8">
      <c r="B127" s="158" t="s">
        <v>94</v>
      </c>
      <c r="C127" s="106" t="s">
        <v>94</v>
      </c>
      <c r="D127" s="106" t="s">
        <v>94</v>
      </c>
      <c r="E127" s="106" t="s">
        <v>94</v>
      </c>
      <c r="F127" s="226" t="str">
        <f>IFERROR(Table792226894100118[[#This Row],[Persons]]/$C$23,"..")</f>
        <v>..</v>
      </c>
      <c r="G127" s="106" t="s">
        <v>94</v>
      </c>
      <c r="H127" s="54" t="str">
        <f t="shared" si="16"/>
        <v>..</v>
      </c>
    </row>
    <row r="128" spans="2:8">
      <c r="B128" s="158" t="s">
        <v>127</v>
      </c>
      <c r="C128" s="106">
        <f>Table792226894100118[[#Totals],[Males]]-SUM(C118:C127)</f>
        <v>16</v>
      </c>
      <c r="D128" s="106">
        <f>Table792226894100118[[#Totals],[Females]]-SUM(D118:D127)</f>
        <v>17</v>
      </c>
      <c r="E128" s="106">
        <f>Table792226894100118[[#Totals],[Persons]]-SUM(E118:E127)</f>
        <v>17</v>
      </c>
      <c r="F128" s="226">
        <f>IFERROR(Table792226894100118[[#This Row],[Persons]]/$C$23,"..")</f>
        <v>1.2472487160674981E-2</v>
      </c>
      <c r="G128" s="106" t="s">
        <v>94</v>
      </c>
      <c r="H128" s="54" t="str">
        <f t="shared" si="16"/>
        <v>..</v>
      </c>
    </row>
    <row r="129" spans="2:9">
      <c r="B129" s="284" t="s">
        <v>872</v>
      </c>
      <c r="C129" s="175" t="s">
        <v>232</v>
      </c>
      <c r="D129" s="175" t="s">
        <v>233</v>
      </c>
      <c r="E129" s="176" t="s">
        <v>234</v>
      </c>
      <c r="F129" s="177" t="s">
        <v>22</v>
      </c>
      <c r="G129" s="176">
        <f>E23</f>
        <v>3854</v>
      </c>
      <c r="H129" s="603">
        <f>(Table792226894100118[[#Totals],[Persons]]-G129)/G129</f>
        <v>-0.64634146341463417</v>
      </c>
    </row>
    <row r="130" spans="2:9">
      <c r="B130" s="389" t="s">
        <v>873</v>
      </c>
      <c r="C130" s="180"/>
      <c r="D130" s="180"/>
      <c r="E130" s="180"/>
      <c r="F130" s="181"/>
      <c r="G130" s="180"/>
      <c r="H130" s="180"/>
      <c r="I130" s="182"/>
    </row>
    <row r="131" spans="2:9">
      <c r="B131" s="183"/>
      <c r="C131" s="183"/>
      <c r="D131" s="183"/>
      <c r="E131" s="183"/>
      <c r="F131" s="174"/>
      <c r="G131" s="553"/>
      <c r="H131" s="183"/>
      <c r="I131" s="183"/>
    </row>
    <row r="132" spans="2:9" ht="23.25">
      <c r="B132" s="127" t="s">
        <v>781</v>
      </c>
    </row>
    <row r="133" spans="2:9" ht="15.75">
      <c r="B133" s="150" t="s">
        <v>825</v>
      </c>
    </row>
    <row r="134" spans="2:9">
      <c r="B134" s="420" t="s">
        <v>36</v>
      </c>
      <c r="C134" s="145" t="s">
        <v>42</v>
      </c>
      <c r="D134" s="145" t="s">
        <v>43</v>
      </c>
      <c r="E134" s="145" t="s">
        <v>44</v>
      </c>
      <c r="F134" s="145" t="s">
        <v>45</v>
      </c>
      <c r="G134" s="145" t="s">
        <v>46</v>
      </c>
      <c r="H134" s="421" t="s">
        <v>28</v>
      </c>
    </row>
    <row r="135" spans="2:9">
      <c r="B135" s="422" t="s">
        <v>95</v>
      </c>
      <c r="C135" s="186"/>
      <c r="D135" s="186"/>
      <c r="E135" s="186"/>
      <c r="F135" s="186"/>
      <c r="G135" s="186"/>
      <c r="H135" s="423"/>
    </row>
    <row r="136" spans="2:9">
      <c r="B136" s="424" t="s">
        <v>48</v>
      </c>
      <c r="C136" s="238">
        <v>316</v>
      </c>
      <c r="D136" s="238">
        <v>230</v>
      </c>
      <c r="E136" s="238">
        <v>299</v>
      </c>
      <c r="F136" s="238">
        <v>180</v>
      </c>
      <c r="G136" s="238">
        <v>46</v>
      </c>
      <c r="H136" s="425">
        <v>1073</v>
      </c>
    </row>
    <row r="137" spans="2:9">
      <c r="B137" s="426" t="s">
        <v>49</v>
      </c>
      <c r="C137" s="241">
        <v>96</v>
      </c>
      <c r="D137" s="241">
        <v>23</v>
      </c>
      <c r="E137" s="241">
        <v>15</v>
      </c>
      <c r="F137" s="241">
        <v>34</v>
      </c>
      <c r="G137" s="241">
        <v>26</v>
      </c>
      <c r="H137" s="427">
        <v>194</v>
      </c>
    </row>
    <row r="138" spans="2:9">
      <c r="B138" s="424" t="s">
        <v>50</v>
      </c>
      <c r="C138" s="238">
        <v>430</v>
      </c>
      <c r="D138" s="238">
        <v>263</v>
      </c>
      <c r="E138" s="238">
        <v>335</v>
      </c>
      <c r="F138" s="238">
        <v>210</v>
      </c>
      <c r="G138" s="238">
        <v>75</v>
      </c>
      <c r="H138" s="425">
        <v>1307</v>
      </c>
    </row>
    <row r="139" spans="2:9">
      <c r="B139" s="428" t="s">
        <v>51</v>
      </c>
      <c r="C139" s="96">
        <f>IFERROR(C137/H138,"-")</f>
        <v>7.3450650344299928E-2</v>
      </c>
      <c r="D139" s="96">
        <f>IFERROR(D137/$H$138,"-")</f>
        <v>1.7597551644988524E-2</v>
      </c>
      <c r="E139" s="96">
        <f t="shared" ref="E139:H139" si="17">IFERROR(E137/$H$138,"-")</f>
        <v>1.1476664116296864E-2</v>
      </c>
      <c r="F139" s="96">
        <f t="shared" si="17"/>
        <v>2.6013771996939557E-2</v>
      </c>
      <c r="G139" s="96">
        <f t="shared" si="17"/>
        <v>1.9892884468247895E-2</v>
      </c>
      <c r="H139" s="429">
        <f t="shared" si="17"/>
        <v>0.14843152257077277</v>
      </c>
    </row>
    <row r="140" spans="2:9">
      <c r="B140" s="430"/>
      <c r="C140" s="196"/>
      <c r="D140" s="196"/>
      <c r="E140" s="196"/>
      <c r="F140" s="196"/>
      <c r="G140" s="196"/>
      <c r="H140" s="431"/>
    </row>
    <row r="141" spans="2:9">
      <c r="B141" s="426" t="s">
        <v>48</v>
      </c>
      <c r="C141" s="241"/>
      <c r="D141" s="241"/>
      <c r="E141" s="241"/>
      <c r="F141" s="241"/>
      <c r="G141" s="241"/>
      <c r="H141" s="427"/>
    </row>
    <row r="142" spans="2:9">
      <c r="B142" s="424" t="s">
        <v>49</v>
      </c>
      <c r="C142" s="238"/>
      <c r="D142" s="238"/>
      <c r="E142" s="238"/>
      <c r="F142" s="238"/>
      <c r="G142" s="238"/>
      <c r="H142" s="425"/>
    </row>
    <row r="143" spans="2:9">
      <c r="B143" s="426" t="s">
        <v>50</v>
      </c>
      <c r="C143" s="241"/>
      <c r="D143" s="241"/>
      <c r="E143" s="241"/>
      <c r="F143" s="241"/>
      <c r="G143" s="241"/>
      <c r="H143" s="427"/>
    </row>
    <row r="144" spans="2:9">
      <c r="B144" s="432" t="s">
        <v>51</v>
      </c>
      <c r="C144" s="101" t="str">
        <f>IFERROR(C142/$H$143,"..")</f>
        <v>..</v>
      </c>
      <c r="D144" s="101" t="str">
        <f t="shared" ref="D144:G144" si="18">IFERROR(D142/$H$143,"..")</f>
        <v>..</v>
      </c>
      <c r="E144" s="101" t="str">
        <f t="shared" si="18"/>
        <v>..</v>
      </c>
      <c r="F144" s="101" t="str">
        <f t="shared" si="18"/>
        <v>..</v>
      </c>
      <c r="G144" s="101" t="str">
        <f t="shared" si="18"/>
        <v>..</v>
      </c>
      <c r="H144" s="433" t="str">
        <f>IFERROR(H142/$H$143,"..")</f>
        <v>..</v>
      </c>
    </row>
    <row r="145" spans="2:8">
      <c r="B145" s="422"/>
      <c r="C145" s="186"/>
      <c r="D145" s="186"/>
      <c r="E145" s="186"/>
      <c r="F145" s="186"/>
      <c r="G145" s="186"/>
      <c r="H145" s="427"/>
    </row>
    <row r="146" spans="2:8">
      <c r="B146" s="424" t="s">
        <v>48</v>
      </c>
      <c r="C146" s="238"/>
      <c r="D146" s="238"/>
      <c r="E146" s="238"/>
      <c r="F146" s="239"/>
      <c r="G146" s="434"/>
      <c r="H146" s="425"/>
    </row>
    <row r="147" spans="2:8">
      <c r="B147" s="426" t="s">
        <v>49</v>
      </c>
      <c r="C147" s="241"/>
      <c r="D147" s="241"/>
      <c r="E147" s="241"/>
      <c r="F147" s="242"/>
      <c r="G147" s="241"/>
      <c r="H147" s="427"/>
    </row>
    <row r="148" spans="2:8">
      <c r="B148" s="424" t="s">
        <v>50</v>
      </c>
      <c r="C148" s="238"/>
      <c r="D148" s="238"/>
      <c r="E148" s="238"/>
      <c r="F148" s="238"/>
      <c r="G148" s="435"/>
      <c r="H148" s="425"/>
    </row>
    <row r="149" spans="2:8">
      <c r="B149" s="428" t="s">
        <v>51</v>
      </c>
      <c r="C149" s="96" t="str">
        <f>IFERROR(C147/$H$148,"..")</f>
        <v>..</v>
      </c>
      <c r="D149" s="96" t="str">
        <f t="shared" ref="D149:H149" si="19">IFERROR(D147/$H$148,"..")</f>
        <v>..</v>
      </c>
      <c r="E149" s="96" t="str">
        <f t="shared" si="19"/>
        <v>..</v>
      </c>
      <c r="F149" s="96" t="str">
        <f t="shared" si="19"/>
        <v>..</v>
      </c>
      <c r="G149" s="96" t="str">
        <f t="shared" si="19"/>
        <v>..</v>
      </c>
      <c r="H149" s="429" t="str">
        <f t="shared" si="19"/>
        <v>..</v>
      </c>
    </row>
    <row r="150" spans="2:8">
      <c r="B150" s="430"/>
      <c r="C150" s="196"/>
      <c r="D150" s="196"/>
      <c r="E150" s="196"/>
      <c r="F150" s="196"/>
      <c r="G150" s="196"/>
      <c r="H150" s="431"/>
    </row>
    <row r="151" spans="2:8">
      <c r="B151" s="426" t="s">
        <v>48</v>
      </c>
      <c r="C151" s="241"/>
      <c r="D151" s="241"/>
      <c r="E151" s="241"/>
      <c r="F151" s="241"/>
      <c r="G151" s="241"/>
      <c r="H151" s="427"/>
    </row>
    <row r="152" spans="2:8">
      <c r="B152" s="424" t="s">
        <v>49</v>
      </c>
      <c r="C152" s="238"/>
      <c r="D152" s="238"/>
      <c r="E152" s="238"/>
      <c r="F152" s="238"/>
      <c r="G152" s="238"/>
      <c r="H152" s="425"/>
    </row>
    <row r="153" spans="2:8">
      <c r="B153" s="426" t="s">
        <v>50</v>
      </c>
      <c r="C153" s="241"/>
      <c r="D153" s="241"/>
      <c r="E153" s="241"/>
      <c r="F153" s="241"/>
      <c r="G153" s="241"/>
      <c r="H153" s="427"/>
    </row>
    <row r="154" spans="2:8">
      <c r="B154" s="432" t="s">
        <v>51</v>
      </c>
      <c r="C154" s="98" t="str">
        <f>IFERROR(C152/$H$153,"..")</f>
        <v>..</v>
      </c>
      <c r="D154" s="98" t="str">
        <f t="shared" ref="D154:H154" si="20">IFERROR(D152/$H$153,"..")</f>
        <v>..</v>
      </c>
      <c r="E154" s="98" t="str">
        <f t="shared" si="20"/>
        <v>..</v>
      </c>
      <c r="F154" s="98" t="str">
        <f t="shared" si="20"/>
        <v>..</v>
      </c>
      <c r="G154" s="98" t="str">
        <f t="shared" si="20"/>
        <v>..</v>
      </c>
      <c r="H154" s="436" t="str">
        <f t="shared" si="20"/>
        <v>..</v>
      </c>
    </row>
    <row r="155" spans="2:8">
      <c r="B155" s="422"/>
      <c r="C155" s="186"/>
      <c r="D155" s="186"/>
      <c r="E155" s="186"/>
      <c r="F155" s="186"/>
      <c r="G155" s="186"/>
      <c r="H155" s="423"/>
    </row>
    <row r="156" spans="2:8">
      <c r="B156" s="424" t="s">
        <v>48</v>
      </c>
      <c r="C156" s="238"/>
      <c r="D156" s="238"/>
      <c r="E156" s="238"/>
      <c r="F156" s="238"/>
      <c r="G156" s="238"/>
      <c r="H156" s="425"/>
    </row>
    <row r="157" spans="2:8">
      <c r="B157" s="426" t="s">
        <v>49</v>
      </c>
      <c r="C157" s="241"/>
      <c r="D157" s="241"/>
      <c r="E157" s="241"/>
      <c r="F157" s="241"/>
      <c r="G157" s="241"/>
      <c r="H157" s="427"/>
    </row>
    <row r="158" spans="2:8">
      <c r="B158" s="424" t="s">
        <v>50</v>
      </c>
      <c r="C158" s="238"/>
      <c r="D158" s="238"/>
      <c r="E158" s="238"/>
      <c r="F158" s="238"/>
      <c r="G158" s="238"/>
      <c r="H158" s="425"/>
    </row>
    <row r="159" spans="2:8">
      <c r="B159" s="428" t="s">
        <v>51</v>
      </c>
      <c r="C159" s="96" t="str">
        <f>IFERROR(C157/$H$158,"..")</f>
        <v>..</v>
      </c>
      <c r="D159" s="96" t="str">
        <f t="shared" ref="D159:H159" si="21">IFERROR(D157/$H$158,"..")</f>
        <v>..</v>
      </c>
      <c r="E159" s="96" t="str">
        <f t="shared" si="21"/>
        <v>..</v>
      </c>
      <c r="F159" s="96" t="str">
        <f t="shared" si="21"/>
        <v>..</v>
      </c>
      <c r="G159" s="96" t="str">
        <f t="shared" si="21"/>
        <v>..</v>
      </c>
      <c r="H159" s="429" t="str">
        <f t="shared" si="21"/>
        <v>..</v>
      </c>
    </row>
    <row r="160" spans="2:8">
      <c r="B160" s="430" t="s">
        <v>114</v>
      </c>
      <c r="C160" s="196"/>
      <c r="D160" s="196"/>
      <c r="E160" s="196"/>
      <c r="F160" s="196"/>
      <c r="G160" s="196"/>
      <c r="H160" s="431"/>
    </row>
    <row r="161" spans="2:10">
      <c r="B161" s="426" t="s">
        <v>48</v>
      </c>
      <c r="C161" s="241">
        <v>328</v>
      </c>
      <c r="D161" s="241">
        <v>236</v>
      </c>
      <c r="E161" s="241">
        <v>320</v>
      </c>
      <c r="F161" s="241">
        <v>185</v>
      </c>
      <c r="G161" s="241">
        <v>43</v>
      </c>
      <c r="H161" s="427">
        <v>1111</v>
      </c>
    </row>
    <row r="162" spans="2:10">
      <c r="B162" s="424" t="s">
        <v>49</v>
      </c>
      <c r="C162" s="238">
        <v>106</v>
      </c>
      <c r="D162" s="238">
        <v>23</v>
      </c>
      <c r="E162" s="238">
        <v>16</v>
      </c>
      <c r="F162" s="238">
        <v>32</v>
      </c>
      <c r="G162" s="238">
        <v>24</v>
      </c>
      <c r="H162" s="425">
        <v>202</v>
      </c>
    </row>
    <row r="163" spans="2:10">
      <c r="B163" s="426" t="s">
        <v>50</v>
      </c>
      <c r="C163" s="241">
        <v>450</v>
      </c>
      <c r="D163" s="241">
        <v>267</v>
      </c>
      <c r="E163" s="241">
        <v>351</v>
      </c>
      <c r="F163" s="241">
        <v>217</v>
      </c>
      <c r="G163" s="241">
        <v>77</v>
      </c>
      <c r="H163" s="427">
        <v>1354</v>
      </c>
    </row>
    <row r="164" spans="2:10">
      <c r="B164" s="437" t="s">
        <v>51</v>
      </c>
      <c r="C164" s="438">
        <f>IFERROR(C162/$H$163,"-")</f>
        <v>7.8286558345642535E-2</v>
      </c>
      <c r="D164" s="438">
        <f t="shared" ref="D164:H164" si="22">IFERROR(D162/$H$163,"-")</f>
        <v>1.6986706056129987E-2</v>
      </c>
      <c r="E164" s="438">
        <f t="shared" si="22"/>
        <v>1.1816838995568686E-2</v>
      </c>
      <c r="F164" s="438">
        <f t="shared" si="22"/>
        <v>2.3633677991137372E-2</v>
      </c>
      <c r="G164" s="438">
        <f t="shared" si="22"/>
        <v>1.7725258493353029E-2</v>
      </c>
      <c r="H164" s="439">
        <f t="shared" si="22"/>
        <v>0.14918759231905465</v>
      </c>
    </row>
    <row r="166" spans="2:10" ht="23.25">
      <c r="B166" s="127" t="s">
        <v>782</v>
      </c>
    </row>
    <row r="167" spans="2:10" ht="15.75">
      <c r="B167" s="150" t="s">
        <v>826</v>
      </c>
      <c r="J167" s="555"/>
    </row>
    <row r="168" spans="2:10" ht="25.5">
      <c r="B168" s="684"/>
      <c r="C168" s="1233" t="s">
        <v>125</v>
      </c>
      <c r="D168" s="1234"/>
      <c r="E168" s="1234"/>
      <c r="F168" s="1238"/>
      <c r="G168" s="607" t="s">
        <v>10</v>
      </c>
      <c r="H168" s="212" t="s">
        <v>58</v>
      </c>
      <c r="I168" s="213" t="s">
        <v>70</v>
      </c>
    </row>
    <row r="169" spans="2:10" ht="63.75">
      <c r="B169" s="560" t="s">
        <v>879</v>
      </c>
      <c r="C169" s="214" t="s">
        <v>61</v>
      </c>
      <c r="D169" s="214" t="s">
        <v>60</v>
      </c>
      <c r="E169" s="214" t="s">
        <v>59</v>
      </c>
      <c r="F169" s="609" t="s">
        <v>848</v>
      </c>
      <c r="G169" s="214" t="s">
        <v>122</v>
      </c>
      <c r="H169" s="214" t="s">
        <v>640</v>
      </c>
      <c r="I169" s="215" t="s">
        <v>641</v>
      </c>
    </row>
    <row r="170" spans="2:10">
      <c r="B170" s="685" t="s">
        <v>118</v>
      </c>
      <c r="C170" s="686">
        <v>1393</v>
      </c>
      <c r="D170" s="686">
        <v>0</v>
      </c>
      <c r="E170" s="686">
        <v>9</v>
      </c>
      <c r="F170" s="686">
        <v>17</v>
      </c>
      <c r="G170" s="686">
        <v>0</v>
      </c>
      <c r="H170" s="686">
        <v>13</v>
      </c>
      <c r="I170" s="687">
        <v>1422</v>
      </c>
    </row>
    <row r="171" spans="2:10">
      <c r="B171" s="685" t="s">
        <v>116</v>
      </c>
      <c r="C171" s="686">
        <v>483</v>
      </c>
      <c r="D171" s="686">
        <v>0</v>
      </c>
      <c r="E171" s="686">
        <v>46</v>
      </c>
      <c r="F171" s="686">
        <v>14</v>
      </c>
      <c r="G171" s="686">
        <v>0</v>
      </c>
      <c r="H171" s="686">
        <v>19</v>
      </c>
      <c r="I171" s="687">
        <v>563</v>
      </c>
    </row>
    <row r="172" spans="2:10">
      <c r="B172" s="685" t="s">
        <v>115</v>
      </c>
      <c r="C172" s="686">
        <v>218</v>
      </c>
      <c r="D172" s="686">
        <v>3</v>
      </c>
      <c r="E172" s="686">
        <v>34</v>
      </c>
      <c r="F172" s="686">
        <v>10</v>
      </c>
      <c r="G172" s="686">
        <v>37</v>
      </c>
      <c r="H172" s="686">
        <v>25</v>
      </c>
      <c r="I172" s="687">
        <v>331</v>
      </c>
    </row>
    <row r="173" spans="2:10">
      <c r="B173" s="685" t="s">
        <v>119</v>
      </c>
      <c r="C173" s="686">
        <v>85</v>
      </c>
      <c r="D173" s="686">
        <v>0</v>
      </c>
      <c r="E173" s="686">
        <v>6</v>
      </c>
      <c r="F173" s="686">
        <v>3</v>
      </c>
      <c r="G173" s="686">
        <v>9</v>
      </c>
      <c r="H173" s="686">
        <v>0</v>
      </c>
      <c r="I173" s="687">
        <v>107</v>
      </c>
    </row>
    <row r="174" spans="2:10">
      <c r="B174" s="685" t="s">
        <v>117</v>
      </c>
      <c r="C174" s="686">
        <v>72</v>
      </c>
      <c r="D174" s="686">
        <v>0</v>
      </c>
      <c r="E174" s="686">
        <v>6</v>
      </c>
      <c r="F174" s="686">
        <v>5</v>
      </c>
      <c r="G174" s="686">
        <v>3</v>
      </c>
      <c r="H174" s="686">
        <v>0</v>
      </c>
      <c r="I174" s="687">
        <v>89</v>
      </c>
    </row>
    <row r="175" spans="2:10">
      <c r="B175" s="685" t="s">
        <v>97</v>
      </c>
      <c r="C175" s="686">
        <v>34</v>
      </c>
      <c r="D175" s="686">
        <v>0</v>
      </c>
      <c r="E175" s="686">
        <v>6</v>
      </c>
      <c r="F175" s="686">
        <v>3</v>
      </c>
      <c r="G175" s="686">
        <v>4</v>
      </c>
      <c r="H175" s="686">
        <v>0</v>
      </c>
      <c r="I175" s="687">
        <v>43</v>
      </c>
    </row>
    <row r="176" spans="2:10">
      <c r="B176" s="685" t="s">
        <v>121</v>
      </c>
      <c r="C176" s="686">
        <v>21</v>
      </c>
      <c r="D176" s="686">
        <v>0</v>
      </c>
      <c r="E176" s="686">
        <v>3</v>
      </c>
      <c r="F176" s="686">
        <v>0</v>
      </c>
      <c r="G176" s="686">
        <v>0</v>
      </c>
      <c r="H176" s="686">
        <v>0</v>
      </c>
      <c r="I176" s="687">
        <v>24</v>
      </c>
    </row>
    <row r="177" spans="2:9">
      <c r="B177" s="685" t="s">
        <v>98</v>
      </c>
      <c r="C177" s="686">
        <v>4</v>
      </c>
      <c r="D177" s="686">
        <v>4</v>
      </c>
      <c r="E177" s="686">
        <v>4</v>
      </c>
      <c r="F177" s="686">
        <v>0</v>
      </c>
      <c r="G177" s="686">
        <v>3</v>
      </c>
      <c r="H177" s="686">
        <v>0</v>
      </c>
      <c r="I177" s="687">
        <v>15</v>
      </c>
    </row>
    <row r="178" spans="2:9">
      <c r="B178" s="685" t="s">
        <v>247</v>
      </c>
      <c r="C178" s="686">
        <v>4</v>
      </c>
      <c r="D178" s="686">
        <v>0</v>
      </c>
      <c r="E178" s="686">
        <v>5</v>
      </c>
      <c r="F178" s="686">
        <v>0</v>
      </c>
      <c r="G178" s="686">
        <v>3</v>
      </c>
      <c r="H178" s="686">
        <v>0</v>
      </c>
      <c r="I178" s="687">
        <v>15</v>
      </c>
    </row>
    <row r="179" spans="2:9">
      <c r="B179" s="688" t="s">
        <v>244</v>
      </c>
      <c r="C179" s="689">
        <v>5</v>
      </c>
      <c r="D179" s="689">
        <v>0</v>
      </c>
      <c r="E179" s="689">
        <v>0</v>
      </c>
      <c r="F179" s="689">
        <v>0</v>
      </c>
      <c r="G179" s="689">
        <v>0</v>
      </c>
      <c r="H179" s="689">
        <v>0</v>
      </c>
      <c r="I179" s="690">
        <v>5</v>
      </c>
    </row>
    <row r="181" spans="2:9" ht="23.25">
      <c r="B181" s="127" t="s">
        <v>783</v>
      </c>
    </row>
    <row r="182" spans="2:9" ht="15.75">
      <c r="B182" s="150" t="s">
        <v>332</v>
      </c>
    </row>
    <row r="183" spans="2:9" ht="25.5">
      <c r="B183" s="173" t="s">
        <v>64</v>
      </c>
      <c r="C183" s="222" t="s">
        <v>37</v>
      </c>
      <c r="D183" s="222" t="s">
        <v>38</v>
      </c>
      <c r="E183" s="222" t="s">
        <v>6</v>
      </c>
      <c r="F183" s="222" t="s">
        <v>1</v>
      </c>
      <c r="G183" s="223" t="s">
        <v>7</v>
      </c>
      <c r="H183" s="222" t="s">
        <v>65</v>
      </c>
      <c r="I183" s="222" t="s">
        <v>8</v>
      </c>
    </row>
    <row r="184" spans="2:9">
      <c r="B184" s="155" t="s">
        <v>164</v>
      </c>
      <c r="C184" s="103">
        <v>321</v>
      </c>
      <c r="D184" s="103">
        <v>310</v>
      </c>
      <c r="E184" s="103">
        <v>630</v>
      </c>
      <c r="F184" s="224">
        <f>(Table79222681196102108114101114[[#This Row],[Persons]]/$C$15)</f>
        <v>0.22380106571936056</v>
      </c>
      <c r="G184" s="228">
        <v>218</v>
      </c>
      <c r="H184" s="103">
        <f>Table79222681196102108114101114[[#This Row],[Persons]]-Table79222681196102108114101114[[#This Row],[2011 Census]]</f>
        <v>412</v>
      </c>
      <c r="I184" s="64">
        <f>IFERROR((Table79222681196102108114101114[[#This Row],[Persons]]-Table79222681196102108114101114[[#This Row],[2011 Census]])/Table79222681196102108114101114[[#This Row],[2011 Census]],"..")</f>
        <v>1.8899082568807339</v>
      </c>
    </row>
    <row r="185" spans="2:9">
      <c r="B185" s="158" t="s">
        <v>149</v>
      </c>
      <c r="C185" s="106">
        <v>276</v>
      </c>
      <c r="D185" s="106">
        <v>233</v>
      </c>
      <c r="E185" s="106">
        <v>509</v>
      </c>
      <c r="F185" s="226">
        <f>(Table79222681196102108114101114[[#This Row],[Persons]]/$C$15)</f>
        <v>0.18081705150976909</v>
      </c>
      <c r="G185" s="227">
        <v>955</v>
      </c>
      <c r="H185" s="106">
        <f>Table79222681196102108114101114[[#This Row],[Persons]]-Table79222681196102108114101114[[#This Row],[2011 Census]]</f>
        <v>-446</v>
      </c>
      <c r="I185" s="54">
        <f>IFERROR((Table79222681196102108114101114[[#This Row],[Persons]]-Table79222681196102108114101114[[#This Row],[2011 Census]])/Table79222681196102108114101114[[#This Row],[2011 Census]],"..")</f>
        <v>-0.46701570680628274</v>
      </c>
    </row>
    <row r="186" spans="2:9">
      <c r="B186" s="155" t="s">
        <v>150</v>
      </c>
      <c r="C186" s="103">
        <v>233</v>
      </c>
      <c r="D186" s="103">
        <v>238</v>
      </c>
      <c r="E186" s="103">
        <v>476</v>
      </c>
      <c r="F186" s="224">
        <f>(Table79222681196102108114101114[[#This Row],[Persons]]/$C$15)</f>
        <v>0.16909413854351688</v>
      </c>
      <c r="G186" s="228">
        <v>3295</v>
      </c>
      <c r="H186" s="103">
        <f>Table79222681196102108114101114[[#This Row],[Persons]]-Table79222681196102108114101114[[#This Row],[2011 Census]]</f>
        <v>-2819</v>
      </c>
      <c r="I186" s="64">
        <f>IFERROR((Table79222681196102108114101114[[#This Row],[Persons]]-Table79222681196102108114101114[[#This Row],[2011 Census]])/Table79222681196102108114101114[[#This Row],[2011 Census]],"..")</f>
        <v>-0.85553869499241275</v>
      </c>
    </row>
    <row r="187" spans="2:9">
      <c r="B187" s="158" t="s">
        <v>151</v>
      </c>
      <c r="C187" s="106">
        <v>82</v>
      </c>
      <c r="D187" s="106">
        <v>79</v>
      </c>
      <c r="E187" s="106">
        <v>163</v>
      </c>
      <c r="F187" s="226">
        <f>(Table79222681196102108114101114[[#This Row],[Persons]]/$C$15)</f>
        <v>5.7904085257548844E-2</v>
      </c>
      <c r="G187" s="227">
        <v>238</v>
      </c>
      <c r="H187" s="106">
        <f>Table79222681196102108114101114[[#This Row],[Persons]]-Table79222681196102108114101114[[#This Row],[2011 Census]]</f>
        <v>-75</v>
      </c>
      <c r="I187" s="54">
        <f>IFERROR((Table79222681196102108114101114[[#This Row],[Persons]]-Table79222681196102108114101114[[#This Row],[2011 Census]])/Table79222681196102108114101114[[#This Row],[2011 Census]],"..")</f>
        <v>-0.31512605042016806</v>
      </c>
    </row>
    <row r="188" spans="2:9">
      <c r="B188" s="155" t="s">
        <v>155</v>
      </c>
      <c r="C188" s="103">
        <v>70</v>
      </c>
      <c r="D188" s="103">
        <v>83</v>
      </c>
      <c r="E188" s="103">
        <v>157</v>
      </c>
      <c r="F188" s="224">
        <f>(Table79222681196102108114101114[[#This Row],[Persons]]/$C$15)</f>
        <v>5.5772646536412077E-2</v>
      </c>
      <c r="G188" s="228">
        <v>214</v>
      </c>
      <c r="H188" s="103">
        <f>Table79222681196102108114101114[[#This Row],[Persons]]-Table79222681196102108114101114[[#This Row],[2011 Census]]</f>
        <v>-57</v>
      </c>
      <c r="I188" s="64">
        <f>IFERROR((Table79222681196102108114101114[[#This Row],[Persons]]-Table79222681196102108114101114[[#This Row],[2011 Census]])/Table79222681196102108114101114[[#This Row],[2011 Census]],"..")</f>
        <v>-0.26635514018691586</v>
      </c>
    </row>
    <row r="189" spans="2:9">
      <c r="B189" s="158" t="s">
        <v>154</v>
      </c>
      <c r="C189" s="106">
        <v>68</v>
      </c>
      <c r="D189" s="106">
        <v>64</v>
      </c>
      <c r="E189" s="106">
        <v>133</v>
      </c>
      <c r="F189" s="226">
        <f>(Table79222681196102108114101114[[#This Row],[Persons]]/$C$15)</f>
        <v>4.7246891651865006E-2</v>
      </c>
      <c r="G189" s="227">
        <v>328</v>
      </c>
      <c r="H189" s="106">
        <f>Table79222681196102108114101114[[#This Row],[Persons]]-Table79222681196102108114101114[[#This Row],[2011 Census]]</f>
        <v>-195</v>
      </c>
      <c r="I189" s="54">
        <f>IFERROR((Table79222681196102108114101114[[#This Row],[Persons]]-Table79222681196102108114101114[[#This Row],[2011 Census]])/Table79222681196102108114101114[[#This Row],[2011 Census]],"..")</f>
        <v>-0.59451219512195119</v>
      </c>
    </row>
    <row r="190" spans="2:9">
      <c r="B190" s="155" t="s">
        <v>153</v>
      </c>
      <c r="C190" s="103">
        <v>20</v>
      </c>
      <c r="D190" s="103">
        <v>21</v>
      </c>
      <c r="E190" s="103">
        <v>39</v>
      </c>
      <c r="F190" s="224">
        <f>(Table79222681196102108114101114[[#This Row],[Persons]]/$C$15)</f>
        <v>1.3854351687388987E-2</v>
      </c>
      <c r="G190" s="228">
        <v>92</v>
      </c>
      <c r="H190" s="103">
        <f>Table79222681196102108114101114[[#This Row],[Persons]]-Table79222681196102108114101114[[#This Row],[2011 Census]]</f>
        <v>-53</v>
      </c>
      <c r="I190" s="64">
        <f>IFERROR((Table79222681196102108114101114[[#This Row],[Persons]]-Table79222681196102108114101114[[#This Row],[2011 Census]])/Table79222681196102108114101114[[#This Row],[2011 Census]],"..")</f>
        <v>-0.57608695652173914</v>
      </c>
    </row>
    <row r="191" spans="2:9">
      <c r="B191" s="158" t="s">
        <v>157</v>
      </c>
      <c r="C191" s="106">
        <v>10</v>
      </c>
      <c r="D191" s="106">
        <v>11</v>
      </c>
      <c r="E191" s="106">
        <v>25</v>
      </c>
      <c r="F191" s="226">
        <f>(Table79222681196102108114101114[[#This Row],[Persons]]/$C$15)</f>
        <v>8.8809946714031966E-3</v>
      </c>
      <c r="G191" s="227">
        <v>29</v>
      </c>
      <c r="H191" s="106">
        <f>Table79222681196102108114101114[[#This Row],[Persons]]-Table79222681196102108114101114[[#This Row],[2011 Census]]</f>
        <v>-4</v>
      </c>
      <c r="I191" s="54">
        <f>IFERROR((Table79222681196102108114101114[[#This Row],[Persons]]-Table79222681196102108114101114[[#This Row],[2011 Census]])/Table79222681196102108114101114[[#This Row],[2011 Census]],"..")</f>
        <v>-0.13793103448275862</v>
      </c>
    </row>
    <row r="192" spans="2:9">
      <c r="B192" s="155" t="s">
        <v>162</v>
      </c>
      <c r="C192" s="103">
        <v>11</v>
      </c>
      <c r="D192" s="103">
        <v>3</v>
      </c>
      <c r="E192" s="103">
        <v>17</v>
      </c>
      <c r="F192" s="224">
        <f>(Table79222681196102108114101114[[#This Row],[Persons]]/$C$15)</f>
        <v>6.0390763765541741E-3</v>
      </c>
      <c r="G192" s="228">
        <v>0</v>
      </c>
      <c r="H192" s="103">
        <f>Table79222681196102108114101114[[#This Row],[Persons]]-Table79222681196102108114101114[[#This Row],[2011 Census]]</f>
        <v>17</v>
      </c>
      <c r="I192" s="64" t="str">
        <f>IFERROR((Table79222681196102108114101114[[#This Row],[Persons]]-Table79222681196102108114101114[[#This Row],[2011 Census]])/Table79222681196102108114101114[[#This Row],[2011 Census]],"..")</f>
        <v>..</v>
      </c>
    </row>
    <row r="193" spans="2:9">
      <c r="B193" s="158" t="s">
        <v>156</v>
      </c>
      <c r="C193" s="106">
        <v>7</v>
      </c>
      <c r="D193" s="106">
        <v>9</v>
      </c>
      <c r="E193" s="106">
        <v>15</v>
      </c>
      <c r="F193" s="226">
        <f>(Table79222681196102108114101114[[#This Row],[Persons]]/$C$15)</f>
        <v>5.3285968028419185E-3</v>
      </c>
      <c r="G193" s="227">
        <v>11</v>
      </c>
      <c r="H193" s="106">
        <f>Table79222681196102108114101114[[#This Row],[Persons]]-Table79222681196102108114101114[[#This Row],[2011 Census]]</f>
        <v>4</v>
      </c>
      <c r="I193" s="54">
        <f>IFERROR((Table79222681196102108114101114[[#This Row],[Persons]]-Table79222681196102108114101114[[#This Row],[2011 Census]])/Table79222681196102108114101114[[#This Row],[2011 Census]],"..")</f>
        <v>0.36363636363636365</v>
      </c>
    </row>
    <row r="194" spans="2:9">
      <c r="B194" s="155" t="s">
        <v>152</v>
      </c>
      <c r="C194" s="103">
        <v>3</v>
      </c>
      <c r="D194" s="103">
        <v>5</v>
      </c>
      <c r="E194" s="103">
        <v>8</v>
      </c>
      <c r="F194" s="224">
        <f>(Table79222681196102108114101114[[#This Row],[Persons]]/$C$15)</f>
        <v>2.8419182948490229E-3</v>
      </c>
      <c r="G194" s="228">
        <v>28</v>
      </c>
      <c r="H194" s="103">
        <f>Table79222681196102108114101114[[#This Row],[Persons]]-Table79222681196102108114101114[[#This Row],[2011 Census]]</f>
        <v>-20</v>
      </c>
      <c r="I194" s="64">
        <f>IFERROR((Table79222681196102108114101114[[#This Row],[Persons]]-Table79222681196102108114101114[[#This Row],[2011 Census]])/Table79222681196102108114101114[[#This Row],[2011 Census]],"..")</f>
        <v>-0.7142857142857143</v>
      </c>
    </row>
    <row r="195" spans="2:9">
      <c r="B195" s="158" t="s">
        <v>167</v>
      </c>
      <c r="C195" s="106">
        <v>4</v>
      </c>
      <c r="D195" s="106">
        <v>0</v>
      </c>
      <c r="E195" s="106">
        <v>4</v>
      </c>
      <c r="F195" s="226">
        <f>(Table79222681196102108114101114[[#This Row],[Persons]]/$C$15)</f>
        <v>1.4209591474245115E-3</v>
      </c>
      <c r="G195" s="227">
        <v>0</v>
      </c>
      <c r="H195" s="106">
        <f>Table79222681196102108114101114[[#This Row],[Persons]]-Table79222681196102108114101114[[#This Row],[2011 Census]]</f>
        <v>4</v>
      </c>
      <c r="I195" s="54" t="str">
        <f>IFERROR((Table79222681196102108114101114[[#This Row],[Persons]]-Table79222681196102108114101114[[#This Row],[2011 Census]])/Table79222681196102108114101114[[#This Row],[2011 Census]],"..")</f>
        <v>..</v>
      </c>
    </row>
    <row r="196" spans="2:9">
      <c r="B196" s="155" t="s">
        <v>161</v>
      </c>
      <c r="C196" s="103">
        <v>5</v>
      </c>
      <c r="D196" s="103">
        <v>0</v>
      </c>
      <c r="E196" s="103">
        <v>3</v>
      </c>
      <c r="F196" s="224">
        <f>(Table79222681196102108114101114[[#This Row],[Persons]]/$C$15)</f>
        <v>1.0657193605683837E-3</v>
      </c>
      <c r="G196" s="228">
        <v>0</v>
      </c>
      <c r="H196" s="103">
        <f>Table79222681196102108114101114[[#This Row],[Persons]]-Table79222681196102108114101114[[#This Row],[2011 Census]]</f>
        <v>3</v>
      </c>
      <c r="I196" s="64" t="str">
        <f>IFERROR((Table79222681196102108114101114[[#This Row],[Persons]]-Table79222681196102108114101114[[#This Row],[2011 Census]])/Table79222681196102108114101114[[#This Row],[2011 Census]],"..")</f>
        <v>..</v>
      </c>
    </row>
    <row r="197" spans="2:9">
      <c r="B197" s="158"/>
      <c r="C197" s="106"/>
      <c r="D197" s="106"/>
      <c r="E197" s="106"/>
      <c r="F197" s="226"/>
      <c r="G197" s="227"/>
      <c r="H197" s="106"/>
      <c r="I197" s="54"/>
    </row>
    <row r="198" spans="2:9">
      <c r="B198" s="158"/>
      <c r="C198" s="106"/>
      <c r="D198" s="106"/>
      <c r="E198" s="106"/>
      <c r="F198" s="226"/>
      <c r="G198" s="227"/>
      <c r="H198" s="106"/>
      <c r="I198" s="54"/>
    </row>
    <row r="199" spans="2:9">
      <c r="B199" s="158"/>
      <c r="C199" s="106"/>
      <c r="D199" s="106"/>
      <c r="E199" s="106"/>
      <c r="F199" s="226"/>
      <c r="G199" s="227"/>
      <c r="H199" s="106"/>
      <c r="I199" s="54"/>
    </row>
    <row r="200" spans="2:9">
      <c r="B200" s="158"/>
      <c r="C200" s="106"/>
      <c r="D200" s="106"/>
      <c r="E200" s="106"/>
      <c r="F200" s="226"/>
      <c r="G200" s="227"/>
      <c r="H200" s="106"/>
      <c r="I200" s="54"/>
    </row>
    <row r="201" spans="2:9">
      <c r="B201" s="158"/>
      <c r="C201" s="106"/>
      <c r="D201" s="106"/>
      <c r="E201" s="106"/>
      <c r="F201" s="226"/>
      <c r="G201" s="227"/>
      <c r="H201" s="106"/>
      <c r="I201" s="54"/>
    </row>
    <row r="202" spans="2:9">
      <c r="B202" s="158"/>
      <c r="C202" s="106"/>
      <c r="D202" s="106"/>
      <c r="E202" s="106"/>
      <c r="F202" s="226"/>
      <c r="G202" s="227"/>
      <c r="H202" s="106"/>
      <c r="I202" s="54"/>
    </row>
    <row r="203" spans="2:9">
      <c r="B203" s="158"/>
      <c r="C203" s="106"/>
      <c r="D203" s="106"/>
      <c r="E203" s="106"/>
      <c r="F203" s="226"/>
      <c r="G203" s="227"/>
      <c r="H203" s="106"/>
      <c r="I203" s="54"/>
    </row>
    <row r="204" spans="2:9">
      <c r="B204" s="155" t="s">
        <v>71</v>
      </c>
      <c r="C204" s="103">
        <v>27</v>
      </c>
      <c r="D204" s="103">
        <v>23</v>
      </c>
      <c r="E204" s="103">
        <v>51</v>
      </c>
      <c r="F204" s="224">
        <f>(Table79222681196102108114101114[[#This Row],[Persons]]/$C$15)</f>
        <v>1.8117229129662522E-2</v>
      </c>
      <c r="G204" s="228"/>
      <c r="H204" s="103">
        <f>Table79222681196102108114101114[[#This Row],[Persons]]-Table79222681196102108114101114[[#This Row],[2011 Census]]</f>
        <v>51</v>
      </c>
      <c r="I204" s="64" t="str">
        <f>IFERROR((Table79222681196102108114101114[[#This Row],[Persons]]-Table79222681196102108114101114[[#This Row],[2011 Census]])/Table79222681196102108114101114[[#This Row],[2011 Census]],"..")</f>
        <v>..</v>
      </c>
    </row>
    <row r="205" spans="2:9">
      <c r="B205" s="158" t="s">
        <v>58</v>
      </c>
      <c r="C205" s="106">
        <v>297</v>
      </c>
      <c r="D205" s="106">
        <v>285</v>
      </c>
      <c r="E205" s="106">
        <v>584</v>
      </c>
      <c r="F205" s="226">
        <f>(Table79222681196102108114101114[[#This Row],[Persons]]/$C$15)</f>
        <v>0.20746003552397868</v>
      </c>
      <c r="G205" s="227"/>
      <c r="H205" s="106">
        <f>Table79222681196102108114101114[[#This Row],[Persons]]-Table79222681196102108114101114[[#This Row],[2011 Census]]</f>
        <v>584</v>
      </c>
      <c r="I205" s="54" t="str">
        <f>IFERROR((Table79222681196102108114101114[[#This Row],[Persons]]-Table79222681196102108114101114[[#This Row],[2011 Census]])/Table79222681196102108114101114[[#This Row],[2011 Census]],"..")</f>
        <v>..</v>
      </c>
    </row>
    <row r="206" spans="2:9" ht="15.75">
      <c r="B206" s="115" t="s">
        <v>72</v>
      </c>
      <c r="C206" s="229" t="s">
        <v>321</v>
      </c>
      <c r="D206" s="229" t="s">
        <v>322</v>
      </c>
      <c r="E206" s="116">
        <f>C15</f>
        <v>2815</v>
      </c>
      <c r="F206" s="230" t="s">
        <v>22</v>
      </c>
      <c r="G206" s="116">
        <f>E15</f>
        <v>5924</v>
      </c>
      <c r="H206" s="229">
        <f>SUM(Table79222681196102108114101114[[#Totals],[Persons]]-Table79222681196102108114101114[[#Totals],[2011 Census]])</f>
        <v>-3109</v>
      </c>
      <c r="I206" s="231">
        <f>SUM((Table79222681196102108114101114[[#Totals],[Persons]]-Table79222681196102108114101114[[#Totals],[2011 Census]])/Table79222681196102108114101114[[#Totals],[2011 Census]])</f>
        <v>-0.52481431465226203</v>
      </c>
    </row>
    <row r="207" spans="2:9" ht="15.75">
      <c r="B207" s="114"/>
      <c r="C207" s="114"/>
      <c r="D207" s="114"/>
      <c r="E207" s="114"/>
      <c r="F207" s="114"/>
      <c r="G207" s="114"/>
      <c r="H207" s="114"/>
      <c r="I207" s="114"/>
    </row>
    <row r="208" spans="2:9" ht="23.25">
      <c r="B208" s="127" t="s">
        <v>784</v>
      </c>
    </row>
    <row r="209" spans="2:10" ht="15.75">
      <c r="B209" s="150" t="s">
        <v>827</v>
      </c>
    </row>
    <row r="210" spans="2:10" ht="25.5">
      <c r="B210" s="173" t="s">
        <v>64</v>
      </c>
      <c r="C210" s="222" t="s">
        <v>66</v>
      </c>
      <c r="D210" s="222" t="s">
        <v>67</v>
      </c>
      <c r="E210" s="222" t="s">
        <v>58</v>
      </c>
      <c r="F210" s="233" t="s">
        <v>68</v>
      </c>
      <c r="G210" s="233" t="s">
        <v>24</v>
      </c>
      <c r="H210" s="233" t="s">
        <v>25</v>
      </c>
      <c r="I210" s="233" t="s">
        <v>69</v>
      </c>
      <c r="J210" s="233" t="s">
        <v>27</v>
      </c>
    </row>
    <row r="211" spans="2:10">
      <c r="B211" s="155" t="s">
        <v>164</v>
      </c>
      <c r="C211" s="103">
        <v>628</v>
      </c>
      <c r="D211" s="103">
        <v>0</v>
      </c>
      <c r="E211" s="103">
        <v>5</v>
      </c>
      <c r="F211" s="234">
        <v>214</v>
      </c>
      <c r="G211" s="235">
        <v>130</v>
      </c>
      <c r="H211" s="235">
        <v>160</v>
      </c>
      <c r="I211" s="236">
        <v>87</v>
      </c>
      <c r="J211" s="235">
        <v>41</v>
      </c>
    </row>
    <row r="212" spans="2:10">
      <c r="B212" s="158" t="s">
        <v>149</v>
      </c>
      <c r="C212" s="106">
        <v>461</v>
      </c>
      <c r="D212" s="106">
        <v>35</v>
      </c>
      <c r="E212" s="106">
        <v>12</v>
      </c>
      <c r="F212" s="237">
        <v>126</v>
      </c>
      <c r="G212" s="238">
        <v>94</v>
      </c>
      <c r="H212" s="238">
        <v>130</v>
      </c>
      <c r="I212" s="239">
        <v>125</v>
      </c>
      <c r="J212" s="238">
        <v>37</v>
      </c>
    </row>
    <row r="213" spans="2:10">
      <c r="B213" s="155" t="s">
        <v>150</v>
      </c>
      <c r="C213" s="103">
        <v>449</v>
      </c>
      <c r="D213" s="103">
        <v>21</v>
      </c>
      <c r="E213" s="103">
        <v>8</v>
      </c>
      <c r="F213" s="240">
        <v>119</v>
      </c>
      <c r="G213" s="241">
        <v>92</v>
      </c>
      <c r="H213" s="241">
        <v>134</v>
      </c>
      <c r="I213" s="242">
        <v>102</v>
      </c>
      <c r="J213" s="241">
        <v>32</v>
      </c>
    </row>
    <row r="214" spans="2:10">
      <c r="B214" s="158" t="s">
        <v>151</v>
      </c>
      <c r="C214" s="106">
        <v>151</v>
      </c>
      <c r="D214" s="106">
        <v>9</v>
      </c>
      <c r="E214" s="106">
        <v>6</v>
      </c>
      <c r="F214" s="237">
        <v>25</v>
      </c>
      <c r="G214" s="238">
        <v>24</v>
      </c>
      <c r="H214" s="238">
        <v>35</v>
      </c>
      <c r="I214" s="239">
        <v>58</v>
      </c>
      <c r="J214" s="238">
        <v>23</v>
      </c>
    </row>
    <row r="215" spans="2:10">
      <c r="B215" s="155" t="s">
        <v>155</v>
      </c>
      <c r="C215" s="103">
        <v>153</v>
      </c>
      <c r="D215" s="103">
        <v>0</v>
      </c>
      <c r="E215" s="103">
        <v>3</v>
      </c>
      <c r="F215" s="240">
        <v>50</v>
      </c>
      <c r="G215" s="241">
        <v>18</v>
      </c>
      <c r="H215" s="241">
        <v>35</v>
      </c>
      <c r="I215" s="242">
        <v>36</v>
      </c>
      <c r="J215" s="241">
        <v>14</v>
      </c>
    </row>
    <row r="216" spans="2:10">
      <c r="B216" s="158" t="s">
        <v>154</v>
      </c>
      <c r="C216" s="106">
        <v>127</v>
      </c>
      <c r="D216" s="106">
        <v>3</v>
      </c>
      <c r="E216" s="106">
        <v>0</v>
      </c>
      <c r="F216" s="237">
        <v>36</v>
      </c>
      <c r="G216" s="238">
        <v>27</v>
      </c>
      <c r="H216" s="238">
        <v>31</v>
      </c>
      <c r="I216" s="239">
        <v>29</v>
      </c>
      <c r="J216" s="238">
        <v>6</v>
      </c>
    </row>
    <row r="217" spans="2:10">
      <c r="B217" s="155" t="s">
        <v>153</v>
      </c>
      <c r="C217" s="103">
        <v>31</v>
      </c>
      <c r="D217" s="103">
        <v>0</v>
      </c>
      <c r="E217" s="103">
        <v>8</v>
      </c>
      <c r="F217" s="240">
        <v>7</v>
      </c>
      <c r="G217" s="241">
        <v>3</v>
      </c>
      <c r="H217" s="241">
        <v>6</v>
      </c>
      <c r="I217" s="242">
        <v>13</v>
      </c>
      <c r="J217" s="241">
        <v>8</v>
      </c>
    </row>
    <row r="218" spans="2:10">
      <c r="B218" s="158" t="s">
        <v>157</v>
      </c>
      <c r="C218" s="106">
        <v>15</v>
      </c>
      <c r="D218" s="106">
        <v>8</v>
      </c>
      <c r="E218" s="106">
        <v>0</v>
      </c>
      <c r="F218" s="237">
        <v>0</v>
      </c>
      <c r="G218" s="238">
        <v>0</v>
      </c>
      <c r="H218" s="238">
        <v>5</v>
      </c>
      <c r="I218" s="239">
        <v>12</v>
      </c>
      <c r="J218" s="238">
        <v>4</v>
      </c>
    </row>
    <row r="219" spans="2:10">
      <c r="B219" s="155" t="s">
        <v>162</v>
      </c>
      <c r="C219" s="103">
        <v>17</v>
      </c>
      <c r="D219" s="103">
        <v>0</v>
      </c>
      <c r="E219" s="103">
        <v>0</v>
      </c>
      <c r="F219" s="240">
        <v>5</v>
      </c>
      <c r="G219" s="241">
        <v>5</v>
      </c>
      <c r="H219" s="241">
        <v>3</v>
      </c>
      <c r="I219" s="242">
        <v>4</v>
      </c>
      <c r="J219" s="241">
        <v>0</v>
      </c>
    </row>
    <row r="220" spans="2:10">
      <c r="B220" s="158" t="s">
        <v>156</v>
      </c>
      <c r="C220" s="106">
        <v>10</v>
      </c>
      <c r="D220" s="106">
        <v>3</v>
      </c>
      <c r="E220" s="106">
        <v>0</v>
      </c>
      <c r="F220" s="237">
        <v>8</v>
      </c>
      <c r="G220" s="238">
        <v>5</v>
      </c>
      <c r="H220" s="238">
        <v>8</v>
      </c>
      <c r="I220" s="239">
        <v>7</v>
      </c>
      <c r="J220" s="238">
        <v>0</v>
      </c>
    </row>
    <row r="221" spans="2:10">
      <c r="B221" s="155" t="s">
        <v>152</v>
      </c>
      <c r="C221" s="103">
        <v>6</v>
      </c>
      <c r="D221" s="103">
        <v>0</v>
      </c>
      <c r="E221" s="103">
        <v>0</v>
      </c>
      <c r="F221" s="240">
        <v>4</v>
      </c>
      <c r="G221" s="241">
        <v>0</v>
      </c>
      <c r="H221" s="241">
        <v>0</v>
      </c>
      <c r="I221" s="242">
        <v>5</v>
      </c>
      <c r="J221" s="241">
        <v>4</v>
      </c>
    </row>
    <row r="222" spans="2:10">
      <c r="B222" s="158" t="s">
        <v>167</v>
      </c>
      <c r="C222" s="106">
        <v>4</v>
      </c>
      <c r="D222" s="106">
        <v>0</v>
      </c>
      <c r="E222" s="106">
        <v>0</v>
      </c>
      <c r="F222" s="237">
        <v>0</v>
      </c>
      <c r="G222" s="238">
        <v>0</v>
      </c>
      <c r="H222" s="238">
        <v>0</v>
      </c>
      <c r="I222" s="239">
        <v>0</v>
      </c>
      <c r="J222" s="238">
        <v>0</v>
      </c>
    </row>
    <row r="223" spans="2:10">
      <c r="B223" s="155" t="s">
        <v>161</v>
      </c>
      <c r="C223" s="103">
        <v>0</v>
      </c>
      <c r="D223" s="103">
        <v>3</v>
      </c>
      <c r="E223" s="103">
        <v>0</v>
      </c>
      <c r="F223" s="240">
        <v>0</v>
      </c>
      <c r="G223" s="241">
        <v>0</v>
      </c>
      <c r="H223" s="241">
        <v>0</v>
      </c>
      <c r="I223" s="242">
        <v>3</v>
      </c>
      <c r="J223" s="241">
        <v>0</v>
      </c>
    </row>
    <row r="224" spans="2:10">
      <c r="B224" s="158" t="s">
        <v>168</v>
      </c>
      <c r="C224" s="106">
        <v>0</v>
      </c>
      <c r="D224" s="106">
        <v>0</v>
      </c>
      <c r="E224" s="106">
        <v>0</v>
      </c>
      <c r="F224" s="237">
        <v>0</v>
      </c>
      <c r="G224" s="238">
        <v>0</v>
      </c>
      <c r="H224" s="238">
        <v>0</v>
      </c>
      <c r="I224" s="239">
        <v>0</v>
      </c>
      <c r="J224" s="238">
        <v>0</v>
      </c>
    </row>
    <row r="225" spans="2:11">
      <c r="B225" s="155" t="s">
        <v>159</v>
      </c>
      <c r="C225" s="103">
        <v>0</v>
      </c>
      <c r="D225" s="103">
        <v>0</v>
      </c>
      <c r="E225" s="103">
        <v>0</v>
      </c>
      <c r="F225" s="240">
        <v>0</v>
      </c>
      <c r="G225" s="241">
        <v>0</v>
      </c>
      <c r="H225" s="241">
        <v>0</v>
      </c>
      <c r="I225" s="242">
        <v>0</v>
      </c>
      <c r="J225" s="241">
        <v>0</v>
      </c>
    </row>
    <row r="226" spans="2:11">
      <c r="B226" s="158" t="s">
        <v>166</v>
      </c>
      <c r="C226" s="106">
        <v>0</v>
      </c>
      <c r="D226" s="106">
        <v>0</v>
      </c>
      <c r="E226" s="106">
        <v>0</v>
      </c>
      <c r="F226" s="237">
        <v>0</v>
      </c>
      <c r="G226" s="238">
        <v>0</v>
      </c>
      <c r="H226" s="238">
        <v>0</v>
      </c>
      <c r="I226" s="239">
        <v>0</v>
      </c>
      <c r="J226" s="238">
        <v>0</v>
      </c>
    </row>
    <row r="227" spans="2:11">
      <c r="B227" s="155" t="s">
        <v>163</v>
      </c>
      <c r="C227" s="103">
        <v>0</v>
      </c>
      <c r="D227" s="103">
        <v>0</v>
      </c>
      <c r="E227" s="103">
        <v>0</v>
      </c>
      <c r="F227" s="240">
        <v>0</v>
      </c>
      <c r="G227" s="241">
        <v>0</v>
      </c>
      <c r="H227" s="241">
        <v>0</v>
      </c>
      <c r="I227" s="242">
        <v>0</v>
      </c>
      <c r="J227" s="241">
        <v>0</v>
      </c>
    </row>
    <row r="228" spans="2:11">
      <c r="B228" s="158" t="s">
        <v>158</v>
      </c>
      <c r="C228" s="106">
        <v>0</v>
      </c>
      <c r="D228" s="106">
        <v>0</v>
      </c>
      <c r="E228" s="106">
        <v>0</v>
      </c>
      <c r="F228" s="237">
        <v>0</v>
      </c>
      <c r="G228" s="238">
        <v>0</v>
      </c>
      <c r="H228" s="238">
        <v>0</v>
      </c>
      <c r="I228" s="239">
        <v>0</v>
      </c>
      <c r="J228" s="238">
        <v>0</v>
      </c>
    </row>
    <row r="229" spans="2:11">
      <c r="B229" s="155" t="s">
        <v>160</v>
      </c>
      <c r="C229" s="103">
        <v>0</v>
      </c>
      <c r="D229" s="103">
        <v>0</v>
      </c>
      <c r="E229" s="103">
        <v>0</v>
      </c>
      <c r="F229" s="240">
        <v>0</v>
      </c>
      <c r="G229" s="241">
        <v>0</v>
      </c>
      <c r="H229" s="241">
        <v>0</v>
      </c>
      <c r="I229" s="242">
        <v>0</v>
      </c>
      <c r="J229" s="241">
        <v>0</v>
      </c>
    </row>
    <row r="230" spans="2:11">
      <c r="B230" s="158" t="s">
        <v>165</v>
      </c>
      <c r="C230" s="106">
        <v>0</v>
      </c>
      <c r="D230" s="106">
        <v>0</v>
      </c>
      <c r="E230" s="106">
        <v>0</v>
      </c>
      <c r="F230" s="237">
        <v>0</v>
      </c>
      <c r="G230" s="238">
        <v>0</v>
      </c>
      <c r="H230" s="238">
        <v>0</v>
      </c>
      <c r="I230" s="239">
        <v>0</v>
      </c>
      <c r="J230" s="238">
        <v>0</v>
      </c>
    </row>
    <row r="231" spans="2:11">
      <c r="B231" s="158" t="s">
        <v>71</v>
      </c>
      <c r="C231" s="106">
        <v>44</v>
      </c>
      <c r="D231" s="106">
        <v>5</v>
      </c>
      <c r="E231" s="106">
        <v>0</v>
      </c>
      <c r="F231" s="237">
        <v>159</v>
      </c>
      <c r="G231" s="238">
        <v>105</v>
      </c>
      <c r="H231" s="238">
        <v>189</v>
      </c>
      <c r="I231" s="239">
        <v>103</v>
      </c>
      <c r="J231" s="238">
        <v>26</v>
      </c>
    </row>
    <row r="232" spans="2:11">
      <c r="B232" s="158" t="s">
        <v>58</v>
      </c>
      <c r="C232" s="106">
        <v>218</v>
      </c>
      <c r="D232" s="106">
        <v>5</v>
      </c>
      <c r="E232" s="106">
        <v>354</v>
      </c>
      <c r="F232" s="237">
        <v>12</v>
      </c>
      <c r="G232" s="238">
        <v>9</v>
      </c>
      <c r="H232" s="238">
        <v>15</v>
      </c>
      <c r="I232" s="239">
        <v>15</v>
      </c>
      <c r="J232" s="238">
        <v>0</v>
      </c>
    </row>
    <row r="233" spans="2:11" ht="15.75">
      <c r="B233" s="115" t="s">
        <v>72</v>
      </c>
      <c r="C233" s="116">
        <f>C16</f>
        <v>2311</v>
      </c>
      <c r="D233" s="116">
        <f>C17</f>
        <v>94</v>
      </c>
      <c r="E233" s="116">
        <f>C18</f>
        <v>402</v>
      </c>
      <c r="F233" s="695" t="s">
        <v>256</v>
      </c>
      <c r="G233" s="696" t="s">
        <v>257</v>
      </c>
      <c r="H233" s="696" t="s">
        <v>258</v>
      </c>
      <c r="I233" s="696" t="s">
        <v>259</v>
      </c>
      <c r="J233" s="1123" t="s">
        <v>260</v>
      </c>
    </row>
    <row r="234" spans="2:11">
      <c r="J234" s="180"/>
    </row>
    <row r="236" spans="2:11" ht="15.75">
      <c r="K236" s="285" t="s">
        <v>642</v>
      </c>
    </row>
    <row r="237" spans="2:11" ht="15.75">
      <c r="B237" s="499" t="s">
        <v>857</v>
      </c>
      <c r="C237" s="500"/>
      <c r="D237" s="500"/>
      <c r="E237" s="500"/>
      <c r="F237" s="500"/>
      <c r="G237" s="500"/>
      <c r="H237" s="500"/>
      <c r="I237" s="500"/>
      <c r="J237" s="501"/>
    </row>
    <row r="238" spans="2:11" ht="15.75">
      <c r="B238" s="502" t="s">
        <v>424</v>
      </c>
      <c r="C238" s="503"/>
      <c r="D238" s="503"/>
      <c r="E238" s="503"/>
      <c r="F238" s="503"/>
      <c r="G238" s="503"/>
      <c r="H238" s="503"/>
      <c r="I238" s="503"/>
      <c r="J238" s="504"/>
    </row>
    <row r="239" spans="2:11" ht="15.75">
      <c r="B239" s="505" t="s">
        <v>824</v>
      </c>
      <c r="C239" s="506"/>
      <c r="D239" s="506"/>
      <c r="E239" s="506"/>
      <c r="F239" s="506"/>
      <c r="G239" s="506"/>
      <c r="H239" s="506"/>
      <c r="I239" s="506"/>
      <c r="J239" s="507"/>
    </row>
  </sheetData>
  <sheetProtection algorithmName="SHA-512" hashValue="y4/+CycRyNf8mGCxXjWv/XXv6bvOyzGquL5ON9GRayVwxt8PryPPwz8HVyBlS7KGWk72Z4q6d+gjo6ESkEPDTg==" saltValue="B2iuClLBCP6zwU1WL9oRTg==" spinCount="100000" sheet="1" objects="1" scenarios="1"/>
  <mergeCells count="16">
    <mergeCell ref="J1:K1"/>
    <mergeCell ref="I30:J30"/>
    <mergeCell ref="I31:J31"/>
    <mergeCell ref="I32:J32"/>
    <mergeCell ref="G2:K2"/>
    <mergeCell ref="I33:J33"/>
    <mergeCell ref="I34:J34"/>
    <mergeCell ref="I35:J35"/>
    <mergeCell ref="I36:J36"/>
    <mergeCell ref="I37:J37"/>
    <mergeCell ref="I38:J38"/>
    <mergeCell ref="I39:J39"/>
    <mergeCell ref="I40:J40"/>
    <mergeCell ref="C168:F168"/>
    <mergeCell ref="I41:J41"/>
    <mergeCell ref="I42:J42"/>
  </mergeCells>
  <hyperlinks>
    <hyperlink ref="J1:K1" location="'Index '!A1" display="Back to Index"/>
    <hyperlink ref="K236" location="'3.15 Victoria Daly'!K1" display="Back to top"/>
  </hyperlinks>
  <pageMargins left="0.35433070866141736" right="3.937007874015748E-2" top="0.51181102362204722" bottom="0.35433070866141736" header="0.11811023622047245" footer="0.11811023622047245"/>
  <pageSetup paperSize="9" scale="56" fitToHeight="10" orientation="portrait" horizontalDpi="300" verticalDpi="300" r:id="rId1"/>
  <headerFooter differentFirst="1" alignWithMargins="0">
    <oddHeader>&amp;L&amp;"Helvetica Bold,Bold"&amp;18&amp;K000000X LGA (Continued)</oddHeader>
  </headerFooter>
  <drawing r:id="rId2"/>
  <tableParts count="6">
    <tablePart r:id="rId3"/>
    <tablePart r:id="rId4"/>
    <tablePart r:id="rId5"/>
    <tablePart r:id="rId6"/>
    <tablePart r:id="rId7"/>
    <tablePart r:id="rId8"/>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39"/>
  <sheetViews>
    <sheetView showGridLines="0" zoomScaleNormal="100" zoomScaleSheetLayoutView="120" zoomScalePageLayoutView="75" workbookViewId="0">
      <selection activeCell="J1" sqref="J1:K1"/>
    </sheetView>
  </sheetViews>
  <sheetFormatPr defaultColWidth="15.625" defaultRowHeight="12.75"/>
  <cols>
    <col min="1" max="1" width="5.875" style="118" customWidth="1"/>
    <col min="2" max="2" width="40.875" style="118" customWidth="1"/>
    <col min="3" max="11" width="10.875" style="118" customWidth="1"/>
    <col min="12" max="14" width="15.625" style="118" customWidth="1"/>
    <col min="15" max="18" width="15.625" style="118"/>
    <col min="19" max="28" width="15.625" style="118" customWidth="1"/>
    <col min="29" max="16384" width="15.625" style="118"/>
  </cols>
  <sheetData>
    <row r="1" spans="1:11" ht="15.75">
      <c r="B1" s="122"/>
      <c r="C1" s="122"/>
      <c r="D1" s="122"/>
      <c r="E1" s="122"/>
      <c r="J1" s="1229" t="s">
        <v>359</v>
      </c>
      <c r="K1" s="1229"/>
    </row>
    <row r="2" spans="1:11" ht="30">
      <c r="A2" s="1125"/>
      <c r="B2" s="119" t="s">
        <v>915</v>
      </c>
      <c r="C2" s="120"/>
      <c r="D2" s="120"/>
      <c r="E2" s="120"/>
      <c r="F2" s="120"/>
      <c r="G2" s="121"/>
      <c r="H2" s="121"/>
      <c r="I2" s="121"/>
      <c r="J2" s="121"/>
      <c r="K2" s="121"/>
    </row>
    <row r="3" spans="1:11">
      <c r="B3" s="122"/>
      <c r="C3" s="122"/>
      <c r="D3" s="122"/>
      <c r="E3" s="122"/>
      <c r="F3" s="122"/>
    </row>
    <row r="4" spans="1:11">
      <c r="B4" s="122"/>
      <c r="C4" s="122"/>
      <c r="D4" s="122"/>
      <c r="E4" s="122"/>
      <c r="F4" s="122"/>
    </row>
    <row r="5" spans="1:11">
      <c r="B5" s="123"/>
      <c r="C5" s="123"/>
      <c r="D5" s="123"/>
      <c r="E5" s="122"/>
      <c r="F5" s="122"/>
    </row>
    <row r="6" spans="1:11" ht="15">
      <c r="B6" s="124" t="s">
        <v>0</v>
      </c>
      <c r="C6" s="125" t="s">
        <v>1</v>
      </c>
      <c r="D6" s="123"/>
      <c r="E6" s="122"/>
      <c r="F6" s="122"/>
    </row>
    <row r="7" spans="1:11" ht="15">
      <c r="B7" s="126" t="s">
        <v>2</v>
      </c>
      <c r="C7" s="125">
        <f>D16</f>
        <v>0.7630434782608696</v>
      </c>
      <c r="D7" s="123"/>
      <c r="E7" s="122"/>
      <c r="F7" s="122"/>
    </row>
    <row r="8" spans="1:11" ht="15">
      <c r="B8" s="126" t="s">
        <v>3</v>
      </c>
      <c r="C8" s="125">
        <f>D18</f>
        <v>5.434782608695652E-2</v>
      </c>
      <c r="D8" s="123"/>
      <c r="E8" s="122"/>
      <c r="F8" s="122"/>
    </row>
    <row r="9" spans="1:11" ht="15">
      <c r="B9" s="126" t="s">
        <v>4</v>
      </c>
      <c r="C9" s="125">
        <f>D19</f>
        <v>0.11739130434782609</v>
      </c>
      <c r="D9" s="123"/>
      <c r="E9" s="122"/>
      <c r="F9" s="122"/>
    </row>
    <row r="10" spans="1:11" ht="15">
      <c r="B10" s="126"/>
      <c r="C10" s="125"/>
      <c r="D10" s="123"/>
      <c r="E10" s="122"/>
      <c r="F10" s="122"/>
    </row>
    <row r="11" spans="1:11" ht="15">
      <c r="B11" s="126" t="s">
        <v>5</v>
      </c>
      <c r="C11" s="125">
        <f>D20</f>
        <v>5.6521739130434782E-2</v>
      </c>
      <c r="D11" s="123"/>
      <c r="E11" s="122"/>
      <c r="F11" s="122"/>
    </row>
    <row r="12" spans="1:11" ht="23.25">
      <c r="B12" s="127" t="s">
        <v>785</v>
      </c>
    </row>
    <row r="14" spans="1:11" s="128" customFormat="1" ht="25.5">
      <c r="B14" s="252" t="s">
        <v>0</v>
      </c>
      <c r="C14" s="233" t="s">
        <v>6</v>
      </c>
      <c r="D14" s="233" t="s">
        <v>1</v>
      </c>
      <c r="E14" s="233" t="s">
        <v>7</v>
      </c>
      <c r="F14" s="233" t="s">
        <v>65</v>
      </c>
      <c r="G14" s="233" t="s">
        <v>8</v>
      </c>
    </row>
    <row r="15" spans="1:11" s="129" customFormat="1">
      <c r="B15" s="262" t="s">
        <v>9</v>
      </c>
      <c r="C15" s="55">
        <v>460</v>
      </c>
      <c r="D15" s="54">
        <f t="shared" ref="D15:D25" si="0">(C15/$C$15)</f>
        <v>1</v>
      </c>
      <c r="E15" s="55">
        <v>368</v>
      </c>
      <c r="F15" s="55">
        <f>(Table4791113157212579399117129[[#This Row],[Persons]]-Table4791113157212579399117129[[#This Row],[2011 Census]])</f>
        <v>92</v>
      </c>
      <c r="G15" s="54">
        <f>IFERROR(Table4791113157212579399117129[[#This Row],[Change 2011-2016]]/Table4791113157212579399117129[[#This Row],[2011 Census]],"..")</f>
        <v>0.25</v>
      </c>
    </row>
    <row r="16" spans="1:11" s="129" customFormat="1">
      <c r="B16" s="262" t="s">
        <v>2</v>
      </c>
      <c r="C16" s="55">
        <v>351</v>
      </c>
      <c r="D16" s="54">
        <f t="shared" si="0"/>
        <v>0.7630434782608696</v>
      </c>
      <c r="E16" s="55">
        <v>276</v>
      </c>
      <c r="F16" s="55">
        <f>(Table4791113157212579399117129[[#This Row],[Persons]]-Table4791113157212579399117129[[#This Row],[2011 Census]])</f>
        <v>75</v>
      </c>
      <c r="G16" s="54">
        <f>IFERROR(Table4791113157212579399117129[[#This Row],[Change 2011-2016]]/Table4791113157212579399117129[[#This Row],[2011 Census]],"..")</f>
        <v>0.27173913043478259</v>
      </c>
    </row>
    <row r="17" spans="2:10" s="129" customFormat="1">
      <c r="B17" s="262" t="s">
        <v>362</v>
      </c>
      <c r="C17" s="55">
        <v>81</v>
      </c>
      <c r="D17" s="54">
        <f t="shared" si="0"/>
        <v>0.17608695652173914</v>
      </c>
      <c r="E17" s="512">
        <v>58</v>
      </c>
      <c r="F17" s="55">
        <f>(Table4791113157212579399117129[[#This Row],[Persons]]-Table4791113157212579399117129[[#This Row],[2011 Census]])</f>
        <v>23</v>
      </c>
      <c r="G17" s="54">
        <f>IFERROR(Table4791113157212579399117129[[#This Row],[Change 2011-2016]]/Table4791113157212579399117129[[#This Row],[2011 Census]],"..")</f>
        <v>0.39655172413793105</v>
      </c>
    </row>
    <row r="18" spans="2:10" s="129" customFormat="1">
      <c r="B18" s="262" t="s">
        <v>3</v>
      </c>
      <c r="C18" s="55">
        <v>25</v>
      </c>
      <c r="D18" s="54">
        <f t="shared" si="0"/>
        <v>5.434782608695652E-2</v>
      </c>
      <c r="E18" s="512">
        <v>33</v>
      </c>
      <c r="F18" s="55">
        <f>(Table4791113157212579399117129[[#This Row],[Persons]]-Table4791113157212579399117129[[#This Row],[2011 Census]])</f>
        <v>-8</v>
      </c>
      <c r="G18" s="54">
        <f>IFERROR(Table4791113157212579399117129[[#This Row],[Change 2011-2016]]/Table4791113157212579399117129[[#This Row],[2011 Census]],"..")</f>
        <v>-0.24242424242424243</v>
      </c>
    </row>
    <row r="19" spans="2:10" s="129" customFormat="1">
      <c r="B19" s="262" t="s">
        <v>4</v>
      </c>
      <c r="C19" s="55">
        <v>54</v>
      </c>
      <c r="D19" s="54">
        <f t="shared" si="0"/>
        <v>0.11739130434782609</v>
      </c>
      <c r="E19" s="512">
        <v>46</v>
      </c>
      <c r="F19" s="55">
        <f>(Table4791113157212579399117129[[#This Row],[Persons]]-Table4791113157212579399117129[[#This Row],[2011 Census]])</f>
        <v>8</v>
      </c>
      <c r="G19" s="54">
        <f>IFERROR(Table4791113157212579399117129[[#This Row],[Change 2011-2016]]/Table4791113157212579399117129[[#This Row],[2011 Census]],"..")</f>
        <v>0.17391304347826086</v>
      </c>
    </row>
    <row r="20" spans="2:10" s="129" customFormat="1">
      <c r="B20" s="262" t="s">
        <v>5</v>
      </c>
      <c r="C20" s="55">
        <v>26</v>
      </c>
      <c r="D20" s="54">
        <f t="shared" si="0"/>
        <v>5.6521739130434782E-2</v>
      </c>
      <c r="E20" s="512">
        <v>12</v>
      </c>
      <c r="F20" s="55">
        <f>(Table4791113157212579399117129[[#This Row],[Persons]]-Table4791113157212579399117129[[#This Row],[2011 Census]])</f>
        <v>14</v>
      </c>
      <c r="G20" s="54">
        <f>IFERROR(Table4791113157212579399117129[[#This Row],[Change 2011-2016]]/Table4791113157212579399117129[[#This Row],[2011 Census]],"..")</f>
        <v>1.1666666666666667</v>
      </c>
    </row>
    <row r="21" spans="2:10" s="129" customFormat="1">
      <c r="B21" s="262" t="s">
        <v>11</v>
      </c>
      <c r="C21" s="55">
        <v>64</v>
      </c>
      <c r="D21" s="54">
        <f t="shared" si="0"/>
        <v>0.1391304347826087</v>
      </c>
      <c r="E21" s="512">
        <v>48</v>
      </c>
      <c r="F21" s="55">
        <f>(Table4791113157212579399117129[[#This Row],[Persons]]-Table4791113157212579399117129[[#This Row],[2011 Census]])</f>
        <v>16</v>
      </c>
      <c r="G21" s="54">
        <f>IFERROR(Table4791113157212579399117129[[#This Row],[Change 2011-2016]]/Table4791113157212579399117129[[#This Row],[2011 Census]],"..")</f>
        <v>0.33333333333333331</v>
      </c>
    </row>
    <row r="22" spans="2:10" s="129" customFormat="1">
      <c r="B22" s="262" t="s">
        <v>12</v>
      </c>
      <c r="C22" s="55">
        <v>40</v>
      </c>
      <c r="D22" s="54">
        <f t="shared" si="0"/>
        <v>8.6956521739130432E-2</v>
      </c>
      <c r="E22" s="512">
        <v>15</v>
      </c>
      <c r="F22" s="55">
        <f>(Table4791113157212579399117129[[#This Row],[Persons]]-Table4791113157212579399117129[[#This Row],[2011 Census]])</f>
        <v>25</v>
      </c>
      <c r="G22" s="54">
        <f>IFERROR(Table4791113157212579399117129[[#This Row],[Change 2011-2016]]/Table4791113157212579399117129[[#This Row],[2011 Census]],"..")</f>
        <v>1.6666666666666667</v>
      </c>
    </row>
    <row r="23" spans="2:10" s="129" customFormat="1">
      <c r="B23" s="262" t="s">
        <v>13</v>
      </c>
      <c r="C23" s="55">
        <v>23</v>
      </c>
      <c r="D23" s="54">
        <f t="shared" si="0"/>
        <v>0.05</v>
      </c>
      <c r="E23" s="512">
        <v>9</v>
      </c>
      <c r="F23" s="55">
        <f>(Table4791113157212579399117129[[#This Row],[Persons]]-Table4791113157212579399117129[[#This Row],[2011 Census]])</f>
        <v>14</v>
      </c>
      <c r="G23" s="54">
        <f>IFERROR(Table4791113157212579399117129[[#This Row],[Change 2011-2016]]/Table4791113157212579399117129[[#This Row],[2011 Census]],"..")</f>
        <v>1.5555555555555556</v>
      </c>
    </row>
    <row r="24" spans="2:10" s="129" customFormat="1">
      <c r="B24" s="262" t="s">
        <v>869</v>
      </c>
      <c r="C24" s="55">
        <v>3</v>
      </c>
      <c r="D24" s="54">
        <f t="shared" si="0"/>
        <v>6.5217391304347823E-3</v>
      </c>
      <c r="E24" s="512">
        <v>7</v>
      </c>
      <c r="F24" s="55">
        <f>(Table4791113157212579399117129[[#This Row],[Persons]]-Table4791113157212579399117129[[#This Row],[2011 Census]])</f>
        <v>-4</v>
      </c>
      <c r="G24" s="54">
        <f>IFERROR(Table4791113157212579399117129[[#This Row],[Change 2011-2016]]/Table4791113157212579399117129[[#This Row],[2011 Census]],"..")</f>
        <v>-0.5714285714285714</v>
      </c>
    </row>
    <row r="25" spans="2:10" s="129" customFormat="1" ht="12.95" customHeight="1">
      <c r="B25" s="262" t="s">
        <v>870</v>
      </c>
      <c r="C25" s="55">
        <v>3</v>
      </c>
      <c r="D25" s="54">
        <f t="shared" si="0"/>
        <v>6.5217391304347823E-3</v>
      </c>
      <c r="E25" s="512">
        <v>0</v>
      </c>
      <c r="F25" s="55">
        <f>(Table4791113157212579399117129[[#This Row],[Persons]]-Table4791113157212579399117129[[#This Row],[2011 Census]])</f>
        <v>3</v>
      </c>
      <c r="G25" s="54" t="str">
        <f>IFERROR(Table4791113157212579399117129[[#This Row],[Change 2011-2016]]/Table4791113157212579399117129[[#This Row],[2011 Census]],"..")</f>
        <v>..</v>
      </c>
    </row>
    <row r="26" spans="2:10" s="329" customFormat="1">
      <c r="B26" s="349" t="s">
        <v>366</v>
      </c>
    </row>
    <row r="27" spans="2:10" s="329" customFormat="1">
      <c r="B27" s="349"/>
    </row>
    <row r="28" spans="2:10" s="129" customFormat="1" ht="23.25">
      <c r="B28" s="127" t="s">
        <v>786</v>
      </c>
      <c r="D28" s="131"/>
      <c r="E28" s="132"/>
      <c r="F28" s="132"/>
      <c r="G28" s="132"/>
    </row>
    <row r="29" spans="2:10" s="129" customFormat="1" ht="15.75">
      <c r="B29" s="133" t="s">
        <v>333</v>
      </c>
    </row>
    <row r="30" spans="2:10" s="128" customFormat="1" ht="25.5">
      <c r="B30" s="252" t="s">
        <v>14</v>
      </c>
      <c r="C30" s="252" t="s">
        <v>15</v>
      </c>
      <c r="D30" s="252" t="s">
        <v>16</v>
      </c>
      <c r="E30" s="252" t="s">
        <v>17</v>
      </c>
      <c r="F30" s="252" t="s">
        <v>18</v>
      </c>
      <c r="G30" s="252" t="s">
        <v>19</v>
      </c>
      <c r="H30" s="252" t="s">
        <v>20</v>
      </c>
      <c r="I30" s="1240"/>
      <c r="J30" s="1240"/>
    </row>
    <row r="31" spans="2:10" s="129" customFormat="1">
      <c r="B31" s="322" t="s">
        <v>73</v>
      </c>
      <c r="C31" s="60">
        <v>11</v>
      </c>
      <c r="D31" s="60">
        <v>9</v>
      </c>
      <c r="E31" s="60">
        <v>19</v>
      </c>
      <c r="F31" s="59">
        <f>IFERROR((Table55202469298116128[[#This Row],[Persons 2016]]/$C$17),"..")</f>
        <v>0.23456790123456789</v>
      </c>
      <c r="G31" s="582">
        <v>22</v>
      </c>
      <c r="H31" s="59">
        <f>IFERROR((Table55202469298116128[[#This Row],[Persons 2016]]-Table55202469298116128[[#This Row],[Persons 2011]])/Table55202469298116128[[#This Row],[Persons 2011]],"..")</f>
        <v>-0.13636363636363635</v>
      </c>
      <c r="I31" s="1236"/>
      <c r="J31" s="1236"/>
    </row>
    <row r="32" spans="2:10" s="129" customFormat="1">
      <c r="B32" s="520" t="s">
        <v>92</v>
      </c>
      <c r="C32" s="60">
        <v>9</v>
      </c>
      <c r="D32" s="60">
        <v>12</v>
      </c>
      <c r="E32" s="60">
        <v>17</v>
      </c>
      <c r="F32" s="59">
        <f>IFERROR((Table55202469298116128[[#This Row],[Persons 2016]]/$C$17),"..")</f>
        <v>0.20987654320987653</v>
      </c>
      <c r="G32" s="582">
        <v>14</v>
      </c>
      <c r="H32" s="59">
        <f>IFERROR((Table55202469298116128[[#This Row],[Persons 2016]]-Table55202469298116128[[#This Row],[Persons 2011]])/Table55202469298116128[[#This Row],[Persons 2011]],"..")</f>
        <v>0.21428571428571427</v>
      </c>
      <c r="I32" s="1236"/>
      <c r="J32" s="1236"/>
    </row>
    <row r="33" spans="2:10" s="129" customFormat="1">
      <c r="B33" s="520" t="s">
        <v>136</v>
      </c>
      <c r="C33" s="60">
        <v>0</v>
      </c>
      <c r="D33" s="60">
        <v>6</v>
      </c>
      <c r="E33" s="60">
        <v>6</v>
      </c>
      <c r="F33" s="59">
        <f>IFERROR((Table55202469298116128[[#This Row],[Persons 2016]]/$C$17),"..")</f>
        <v>7.407407407407407E-2</v>
      </c>
      <c r="G33" s="582" t="s">
        <v>94</v>
      </c>
      <c r="H33" s="59" t="str">
        <f>IFERROR((Table55202469298116128[[#This Row],[Persons 2016]]-Table55202469298116128[[#This Row],[Persons 2011]])/Table55202469298116128[[#This Row],[Persons 2011]],"..")</f>
        <v>..</v>
      </c>
      <c r="I33" s="1236"/>
      <c r="J33" s="1236"/>
    </row>
    <row r="34" spans="2:10" s="129" customFormat="1">
      <c r="B34" s="322" t="s">
        <v>86</v>
      </c>
      <c r="C34" s="60">
        <v>0</v>
      </c>
      <c r="D34" s="60">
        <v>0</v>
      </c>
      <c r="E34" s="60">
        <v>6</v>
      </c>
      <c r="F34" s="59">
        <f>IFERROR((Table55202469298116128[[#This Row],[Persons 2016]]/$C$17),"..")</f>
        <v>7.407407407407407E-2</v>
      </c>
      <c r="G34" s="582" t="s">
        <v>94</v>
      </c>
      <c r="H34" s="59" t="str">
        <f>IFERROR((Table55202469298116128[[#This Row],[Persons 2016]]-Table55202469298116128[[#This Row],[Persons 2011]])/Table55202469298116128[[#This Row],[Persons 2011]],"..")</f>
        <v>..</v>
      </c>
      <c r="I34" s="1236"/>
      <c r="J34" s="1236"/>
    </row>
    <row r="35" spans="2:10" s="129" customFormat="1">
      <c r="B35" s="322" t="s">
        <v>74</v>
      </c>
      <c r="C35" s="60">
        <v>6</v>
      </c>
      <c r="D35" s="60">
        <v>4</v>
      </c>
      <c r="E35" s="60">
        <v>6</v>
      </c>
      <c r="F35" s="59">
        <f>IFERROR((Table55202469298116128[[#This Row],[Persons 2016]]/$C$17),"..")</f>
        <v>7.407407407407407E-2</v>
      </c>
      <c r="G35" s="582" t="s">
        <v>94</v>
      </c>
      <c r="H35" s="59" t="str">
        <f>IFERROR((Table55202469298116128[[#This Row],[Persons 2016]]-Table55202469298116128[[#This Row],[Persons 2011]])/Table55202469298116128[[#This Row],[Persons 2011]],"..")</f>
        <v>..</v>
      </c>
      <c r="I35" s="1236"/>
      <c r="J35" s="1236"/>
    </row>
    <row r="36" spans="2:10" s="129" customFormat="1">
      <c r="B36" s="520" t="s">
        <v>79</v>
      </c>
      <c r="C36" s="60">
        <v>0</v>
      </c>
      <c r="D36" s="60">
        <v>4</v>
      </c>
      <c r="E36" s="60">
        <v>4</v>
      </c>
      <c r="F36" s="59">
        <f>IFERROR((Table55202469298116128[[#This Row],[Persons 2016]]/$C$17),"..")</f>
        <v>4.9382716049382713E-2</v>
      </c>
      <c r="G36" s="582" t="s">
        <v>94</v>
      </c>
      <c r="H36" s="59" t="str">
        <f>IFERROR((Table55202469298116128[[#This Row],[Persons 2016]]-Table55202469298116128[[#This Row],[Persons 2011]])/Table55202469298116128[[#This Row],[Persons 2011]],"..")</f>
        <v>..</v>
      </c>
      <c r="I36" s="1236"/>
      <c r="J36" s="1236"/>
    </row>
    <row r="37" spans="2:10" s="129" customFormat="1">
      <c r="B37" s="322" t="s">
        <v>131</v>
      </c>
      <c r="C37" s="60">
        <v>0</v>
      </c>
      <c r="D37" s="60">
        <v>0</v>
      </c>
      <c r="E37" s="60">
        <v>4</v>
      </c>
      <c r="F37" s="59">
        <f>IFERROR((Table55202469298116128[[#This Row],[Persons 2016]]/$C$17),"..")</f>
        <v>4.9382716049382713E-2</v>
      </c>
      <c r="G37" s="582" t="s">
        <v>94</v>
      </c>
      <c r="H37" s="59" t="str">
        <f>IFERROR((Table55202469298116128[[#This Row],[Persons 2016]]-Table55202469298116128[[#This Row],[Persons 2011]])/Table55202469298116128[[#This Row],[Persons 2011]],"..")</f>
        <v>..</v>
      </c>
      <c r="I37" s="1236"/>
      <c r="J37" s="1236"/>
    </row>
    <row r="38" spans="2:10" s="129" customFormat="1">
      <c r="B38" s="322" t="s">
        <v>76</v>
      </c>
      <c r="C38" s="60">
        <v>0</v>
      </c>
      <c r="D38" s="60">
        <v>3</v>
      </c>
      <c r="E38" s="60">
        <v>3</v>
      </c>
      <c r="F38" s="59">
        <f>IFERROR((Table55202469298116128[[#This Row],[Persons 2016]]/$C$17),"..")</f>
        <v>3.7037037037037035E-2</v>
      </c>
      <c r="G38" s="582" t="s">
        <v>94</v>
      </c>
      <c r="H38" s="59" t="str">
        <f>IFERROR((Table55202469298116128[[#This Row],[Persons 2016]]-Table55202469298116128[[#This Row],[Persons 2011]])/Table55202469298116128[[#This Row],[Persons 2011]],"..")</f>
        <v>..</v>
      </c>
      <c r="I38" s="1236"/>
      <c r="J38" s="1236"/>
    </row>
    <row r="39" spans="2:10">
      <c r="B39" s="322" t="s">
        <v>142</v>
      </c>
      <c r="C39" s="60">
        <v>0</v>
      </c>
      <c r="D39" s="60">
        <v>0</v>
      </c>
      <c r="E39" s="60">
        <v>0</v>
      </c>
      <c r="F39" s="59">
        <f>IFERROR((Table55202469298116128[[#This Row],[Persons 2016]]/$C$17),"..")</f>
        <v>0</v>
      </c>
      <c r="G39" s="582" t="s">
        <v>94</v>
      </c>
      <c r="H39" s="59" t="str">
        <f>IFERROR((Table55202469298116128[[#This Row],[Persons 2016]]-Table55202469298116128[[#This Row],[Persons 2011]])/Table55202469298116128[[#This Row],[Persons 2011]],"..")</f>
        <v>..</v>
      </c>
      <c r="I39" s="1237"/>
      <c r="J39" s="1237"/>
    </row>
    <row r="40" spans="2:10">
      <c r="B40" s="322" t="s">
        <v>130</v>
      </c>
      <c r="C40" s="60">
        <v>0</v>
      </c>
      <c r="D40" s="60">
        <v>0</v>
      </c>
      <c r="E40" s="60">
        <v>0</v>
      </c>
      <c r="F40" s="59">
        <f>IFERROR((Table55202469298116128[[#This Row],[Persons 2016]]/$C$17),"..")</f>
        <v>0</v>
      </c>
      <c r="G40" s="582" t="s">
        <v>94</v>
      </c>
      <c r="H40" s="59" t="str">
        <f>IFERROR((Table55202469298116128[[#This Row],[Persons 2016]]-Table55202469298116128[[#This Row],[Persons 2011]])/Table55202469298116128[[#This Row],[Persons 2011]],"..")</f>
        <v>..</v>
      </c>
      <c r="I40" s="1237"/>
      <c r="J40" s="1237"/>
    </row>
    <row r="41" spans="2:10">
      <c r="B41" s="520" t="s">
        <v>369</v>
      </c>
      <c r="C41" s="60">
        <f>C42-SUM(C31:C40)</f>
        <v>16</v>
      </c>
      <c r="D41" s="60">
        <f t="shared" ref="D41:E41" si="1">D42-SUM(D31:D40)</f>
        <v>3</v>
      </c>
      <c r="E41" s="60">
        <f t="shared" si="1"/>
        <v>16</v>
      </c>
      <c r="F41" s="59">
        <f>IFERROR((Table55202469298116128[[#This Row],[Persons 2016]]/$C$17),"..")</f>
        <v>0.19753086419753085</v>
      </c>
      <c r="G41" s="1126" t="s">
        <v>94</v>
      </c>
      <c r="H41" s="59" t="str">
        <f>IFERROR((Table55202469298116128[[#This Row],[Persons 2016]]-Table55202469298116128[[#This Row],[Persons 2011]])/Table55202469298116128[[#This Row],[Persons 2011]],"..")</f>
        <v>..</v>
      </c>
      <c r="I41" s="1237"/>
      <c r="J41" s="1237"/>
    </row>
    <row r="42" spans="2:10">
      <c r="B42" s="522" t="s">
        <v>21</v>
      </c>
      <c r="C42" s="584">
        <v>42</v>
      </c>
      <c r="D42" s="584">
        <v>41</v>
      </c>
      <c r="E42" s="585">
        <f>C17</f>
        <v>81</v>
      </c>
      <c r="F42" s="586">
        <f>IFERROR((Table55202469298116128[[#This Row],[Persons 2016]]/$C$17),"..")</f>
        <v>1</v>
      </c>
      <c r="G42" s="587">
        <f>E17</f>
        <v>58</v>
      </c>
      <c r="H42" s="586">
        <f>SUM((Table55202469298116128[[#This Row],[Persons 2016]]-Table55202469298116128[[#This Row],[Persons 2011]])/Table55202469298116128[[#This Row],[Persons 2011]])</f>
        <v>0.39655172413793105</v>
      </c>
      <c r="I42" s="1239"/>
      <c r="J42" s="1239"/>
    </row>
    <row r="43" spans="2:10" s="329" customFormat="1">
      <c r="B43" s="349" t="s">
        <v>366</v>
      </c>
    </row>
    <row r="45" spans="2:10" ht="23.25">
      <c r="B45" s="127" t="s">
        <v>787</v>
      </c>
    </row>
    <row r="46" spans="2:10" ht="15.75">
      <c r="B46" s="138" t="s">
        <v>832</v>
      </c>
    </row>
    <row r="47" spans="2:10">
      <c r="B47" s="118" t="s">
        <v>871</v>
      </c>
    </row>
    <row r="48" spans="2:10">
      <c r="B48" s="139" t="s">
        <v>14</v>
      </c>
      <c r="C48" s="139" t="s">
        <v>23</v>
      </c>
      <c r="D48" s="139" t="s">
        <v>24</v>
      </c>
      <c r="E48" s="139" t="s">
        <v>25</v>
      </c>
      <c r="F48" s="139" t="s">
        <v>26</v>
      </c>
      <c r="G48" s="139" t="s">
        <v>27</v>
      </c>
      <c r="H48" s="140" t="s">
        <v>28</v>
      </c>
    </row>
    <row r="49" spans="2:8">
      <c r="B49" s="146" t="s">
        <v>73</v>
      </c>
      <c r="C49" s="573">
        <v>0</v>
      </c>
      <c r="D49" s="573">
        <v>0</v>
      </c>
      <c r="E49" s="573">
        <v>6</v>
      </c>
      <c r="F49" s="1127">
        <v>8</v>
      </c>
      <c r="G49" s="573">
        <v>9</v>
      </c>
      <c r="H49" s="157">
        <v>19</v>
      </c>
    </row>
    <row r="50" spans="2:8">
      <c r="B50" s="174" t="s">
        <v>92</v>
      </c>
      <c r="C50" s="183">
        <v>0</v>
      </c>
      <c r="D50" s="183">
        <v>0</v>
      </c>
      <c r="E50" s="183">
        <v>6</v>
      </c>
      <c r="F50" s="1128">
        <v>12</v>
      </c>
      <c r="G50" s="183">
        <v>7</v>
      </c>
      <c r="H50" s="160">
        <v>17</v>
      </c>
    </row>
    <row r="51" spans="2:8">
      <c r="B51" s="1129" t="s">
        <v>136</v>
      </c>
      <c r="C51" s="573">
        <v>0</v>
      </c>
      <c r="D51" s="573">
        <v>0</v>
      </c>
      <c r="E51" s="573">
        <v>0</v>
      </c>
      <c r="F51" s="1127">
        <v>0</v>
      </c>
      <c r="G51" s="573">
        <v>0</v>
      </c>
      <c r="H51" s="161">
        <v>6</v>
      </c>
    </row>
    <row r="52" spans="2:8">
      <c r="B52" s="148" t="s">
        <v>86</v>
      </c>
      <c r="C52" s="183">
        <v>0</v>
      </c>
      <c r="D52" s="183">
        <v>0</v>
      </c>
      <c r="E52" s="183">
        <v>0</v>
      </c>
      <c r="F52" s="1128">
        <v>0</v>
      </c>
      <c r="G52" s="183">
        <v>0</v>
      </c>
      <c r="H52" s="160">
        <v>6</v>
      </c>
    </row>
    <row r="53" spans="2:8">
      <c r="B53" s="146" t="s">
        <v>74</v>
      </c>
      <c r="C53" s="573">
        <v>0</v>
      </c>
      <c r="D53" s="573">
        <v>0</v>
      </c>
      <c r="E53" s="573">
        <v>0</v>
      </c>
      <c r="F53" s="1127">
        <v>0</v>
      </c>
      <c r="G53" s="573">
        <v>0</v>
      </c>
      <c r="H53" s="161">
        <v>6</v>
      </c>
    </row>
    <row r="54" spans="2:8">
      <c r="B54" s="174" t="s">
        <v>131</v>
      </c>
      <c r="C54" s="183">
        <v>0</v>
      </c>
      <c r="D54" s="183">
        <v>0</v>
      </c>
      <c r="E54" s="183">
        <v>0</v>
      </c>
      <c r="F54" s="1128">
        <v>4</v>
      </c>
      <c r="G54" s="183">
        <v>0</v>
      </c>
      <c r="H54" s="160">
        <v>4</v>
      </c>
    </row>
    <row r="55" spans="2:8">
      <c r="B55" s="146" t="s">
        <v>79</v>
      </c>
      <c r="C55" s="573">
        <v>0</v>
      </c>
      <c r="D55" s="573">
        <v>0</v>
      </c>
      <c r="E55" s="573">
        <v>0</v>
      </c>
      <c r="F55" s="1127">
        <v>0</v>
      </c>
      <c r="G55" s="573">
        <v>0</v>
      </c>
      <c r="H55" s="161">
        <v>4</v>
      </c>
    </row>
    <row r="56" spans="2:8">
      <c r="B56" s="174" t="s">
        <v>76</v>
      </c>
      <c r="C56" s="183">
        <v>0</v>
      </c>
      <c r="D56" s="183">
        <v>0</v>
      </c>
      <c r="E56" s="183">
        <v>3</v>
      </c>
      <c r="F56" s="1128">
        <v>0</v>
      </c>
      <c r="G56" s="183">
        <v>0</v>
      </c>
      <c r="H56" s="160">
        <v>3</v>
      </c>
    </row>
    <row r="57" spans="2:8">
      <c r="B57" s="146" t="s">
        <v>94</v>
      </c>
      <c r="C57" s="574" t="s">
        <v>94</v>
      </c>
      <c r="D57" s="574" t="s">
        <v>94</v>
      </c>
      <c r="E57" s="574" t="s">
        <v>94</v>
      </c>
      <c r="F57" s="1130" t="s">
        <v>94</v>
      </c>
      <c r="G57" s="574" t="s">
        <v>94</v>
      </c>
      <c r="H57" s="68" t="s">
        <v>94</v>
      </c>
    </row>
    <row r="58" spans="2:8">
      <c r="B58" s="148" t="s">
        <v>94</v>
      </c>
      <c r="C58" s="575" t="s">
        <v>94</v>
      </c>
      <c r="D58" s="575" t="s">
        <v>94</v>
      </c>
      <c r="E58" s="575" t="s">
        <v>94</v>
      </c>
      <c r="F58" s="1131" t="s">
        <v>94</v>
      </c>
      <c r="G58" s="575" t="s">
        <v>94</v>
      </c>
      <c r="H58" s="67" t="s">
        <v>94</v>
      </c>
    </row>
    <row r="59" spans="2:8">
      <c r="B59" s="69" t="s">
        <v>29</v>
      </c>
      <c r="C59" s="141">
        <v>65</v>
      </c>
      <c r="D59" s="141">
        <v>24</v>
      </c>
      <c r="E59" s="141">
        <v>73</v>
      </c>
      <c r="F59" s="141">
        <v>134</v>
      </c>
      <c r="G59" s="141">
        <v>54</v>
      </c>
      <c r="H59" s="71">
        <f>C16</f>
        <v>351</v>
      </c>
    </row>
    <row r="60" spans="2:8">
      <c r="B60" s="72" t="s">
        <v>30</v>
      </c>
      <c r="C60" s="142">
        <v>0</v>
      </c>
      <c r="D60" s="142">
        <v>0</v>
      </c>
      <c r="E60" s="142">
        <v>11</v>
      </c>
      <c r="F60" s="142">
        <v>24</v>
      </c>
      <c r="G60" s="593">
        <v>16</v>
      </c>
      <c r="H60" s="74">
        <f>C19</f>
        <v>54</v>
      </c>
    </row>
    <row r="61" spans="2:8">
      <c r="B61" s="75" t="s">
        <v>31</v>
      </c>
      <c r="C61" s="1132">
        <v>0</v>
      </c>
      <c r="D61" s="1132">
        <v>0</v>
      </c>
      <c r="E61" s="1132">
        <v>14</v>
      </c>
      <c r="F61" s="1132">
        <v>11</v>
      </c>
      <c r="G61" s="1132">
        <v>0</v>
      </c>
      <c r="H61" s="77">
        <f>C20</f>
        <v>26</v>
      </c>
    </row>
    <row r="63" spans="2:8" ht="23.25">
      <c r="B63" s="127" t="s">
        <v>788</v>
      </c>
    </row>
    <row r="64" spans="2:8" ht="15.75">
      <c r="B64" s="138" t="s">
        <v>833</v>
      </c>
    </row>
    <row r="65" spans="2:8">
      <c r="B65" s="118" t="s">
        <v>871</v>
      </c>
    </row>
    <row r="66" spans="2:8">
      <c r="B66" s="139" t="s">
        <v>14</v>
      </c>
      <c r="C66" s="144" t="s">
        <v>23</v>
      </c>
      <c r="D66" s="144" t="s">
        <v>24</v>
      </c>
      <c r="E66" s="144" t="s">
        <v>25</v>
      </c>
      <c r="F66" s="144" t="s">
        <v>26</v>
      </c>
      <c r="G66" s="144" t="s">
        <v>27</v>
      </c>
      <c r="H66" s="145" t="s">
        <v>28</v>
      </c>
    </row>
    <row r="67" spans="2:8">
      <c r="B67" s="146" t="str">
        <f t="shared" ref="B67:B74" si="2">B49</f>
        <v>New Zealand</v>
      </c>
      <c r="C67" s="147">
        <f t="shared" ref="C67:C76" si="3">IFERROR(C49/H49,"..")</f>
        <v>0</v>
      </c>
      <c r="D67" s="147">
        <f t="shared" ref="D67:D76" si="4">IFERROR(D49/H49,"..")</f>
        <v>0</v>
      </c>
      <c r="E67" s="147">
        <f t="shared" ref="E67:E76" si="5">IFERROR(E49/H49,"..")</f>
        <v>0.31578947368421051</v>
      </c>
      <c r="F67" s="147">
        <f t="shared" ref="F67:F76" si="6">IFERROR(F49/H49,"..")</f>
        <v>0.42105263157894735</v>
      </c>
      <c r="G67" s="147">
        <f t="shared" ref="G67:G76" si="7">IFERROR(G49/H49,"..")</f>
        <v>0.47368421052631576</v>
      </c>
      <c r="H67" s="65">
        <f t="shared" ref="H67:H76" si="8">H49</f>
        <v>19</v>
      </c>
    </row>
    <row r="68" spans="2:8">
      <c r="B68" s="148" t="str">
        <f t="shared" si="2"/>
        <v>England</v>
      </c>
      <c r="C68" s="130">
        <f t="shared" si="3"/>
        <v>0</v>
      </c>
      <c r="D68" s="130">
        <f t="shared" si="4"/>
        <v>0</v>
      </c>
      <c r="E68" s="130">
        <f t="shared" si="5"/>
        <v>0.35294117647058826</v>
      </c>
      <c r="F68" s="130">
        <f t="shared" si="6"/>
        <v>0.70588235294117652</v>
      </c>
      <c r="G68" s="130">
        <f t="shared" si="7"/>
        <v>0.41176470588235292</v>
      </c>
      <c r="H68" s="67">
        <f t="shared" si="8"/>
        <v>17</v>
      </c>
    </row>
    <row r="69" spans="2:8">
      <c r="B69" s="146" t="str">
        <f t="shared" si="2"/>
        <v>Austria</v>
      </c>
      <c r="C69" s="147">
        <f t="shared" si="3"/>
        <v>0</v>
      </c>
      <c r="D69" s="147">
        <f t="shared" si="4"/>
        <v>0</v>
      </c>
      <c r="E69" s="147">
        <f t="shared" si="5"/>
        <v>0</v>
      </c>
      <c r="F69" s="147">
        <f t="shared" si="6"/>
        <v>0</v>
      </c>
      <c r="G69" s="147">
        <f t="shared" si="7"/>
        <v>0</v>
      </c>
      <c r="H69" s="68">
        <f t="shared" si="8"/>
        <v>6</v>
      </c>
    </row>
    <row r="70" spans="2:8">
      <c r="B70" s="148" t="str">
        <f t="shared" si="2"/>
        <v>Thailand</v>
      </c>
      <c r="C70" s="130">
        <f t="shared" si="3"/>
        <v>0</v>
      </c>
      <c r="D70" s="130">
        <f t="shared" si="4"/>
        <v>0</v>
      </c>
      <c r="E70" s="130">
        <f t="shared" si="5"/>
        <v>0</v>
      </c>
      <c r="F70" s="130">
        <f t="shared" si="6"/>
        <v>0</v>
      </c>
      <c r="G70" s="130">
        <f t="shared" si="7"/>
        <v>0</v>
      </c>
      <c r="H70" s="67">
        <f t="shared" si="8"/>
        <v>6</v>
      </c>
    </row>
    <row r="71" spans="2:8">
      <c r="B71" s="146" t="str">
        <f t="shared" si="2"/>
        <v>United States of America</v>
      </c>
      <c r="C71" s="147">
        <f t="shared" si="3"/>
        <v>0</v>
      </c>
      <c r="D71" s="147">
        <f t="shared" si="4"/>
        <v>0</v>
      </c>
      <c r="E71" s="147">
        <f t="shared" si="5"/>
        <v>0</v>
      </c>
      <c r="F71" s="147">
        <f t="shared" si="6"/>
        <v>0</v>
      </c>
      <c r="G71" s="147">
        <f t="shared" si="7"/>
        <v>0</v>
      </c>
      <c r="H71" s="68">
        <f t="shared" si="8"/>
        <v>6</v>
      </c>
    </row>
    <row r="72" spans="2:8">
      <c r="B72" s="148" t="str">
        <f t="shared" si="2"/>
        <v>Scotland</v>
      </c>
      <c r="C72" s="130">
        <f t="shared" si="3"/>
        <v>0</v>
      </c>
      <c r="D72" s="130">
        <f t="shared" si="4"/>
        <v>0</v>
      </c>
      <c r="E72" s="130">
        <f t="shared" si="5"/>
        <v>0</v>
      </c>
      <c r="F72" s="130">
        <f t="shared" si="6"/>
        <v>1</v>
      </c>
      <c r="G72" s="130">
        <f t="shared" si="7"/>
        <v>0</v>
      </c>
      <c r="H72" s="67">
        <f t="shared" si="8"/>
        <v>4</v>
      </c>
    </row>
    <row r="73" spans="2:8">
      <c r="B73" s="146" t="str">
        <f t="shared" si="2"/>
        <v>Germany</v>
      </c>
      <c r="C73" s="147">
        <f t="shared" si="3"/>
        <v>0</v>
      </c>
      <c r="D73" s="147">
        <f t="shared" si="4"/>
        <v>0</v>
      </c>
      <c r="E73" s="147">
        <f t="shared" si="5"/>
        <v>0</v>
      </c>
      <c r="F73" s="147">
        <f t="shared" si="6"/>
        <v>0</v>
      </c>
      <c r="G73" s="147">
        <f t="shared" si="7"/>
        <v>0</v>
      </c>
      <c r="H73" s="68">
        <f t="shared" si="8"/>
        <v>4</v>
      </c>
    </row>
    <row r="74" spans="2:8">
      <c r="B74" s="148" t="str">
        <f t="shared" si="2"/>
        <v>Philippines</v>
      </c>
      <c r="C74" s="130">
        <f t="shared" si="3"/>
        <v>0</v>
      </c>
      <c r="D74" s="130">
        <f t="shared" si="4"/>
        <v>0</v>
      </c>
      <c r="E74" s="130">
        <f t="shared" si="5"/>
        <v>1</v>
      </c>
      <c r="F74" s="130">
        <f t="shared" si="6"/>
        <v>0</v>
      </c>
      <c r="G74" s="130">
        <f t="shared" si="7"/>
        <v>0</v>
      </c>
      <c r="H74" s="67">
        <f t="shared" si="8"/>
        <v>3</v>
      </c>
    </row>
    <row r="75" spans="2:8">
      <c r="B75" s="146" t="s">
        <v>94</v>
      </c>
      <c r="C75" s="147" t="str">
        <f t="shared" si="3"/>
        <v>..</v>
      </c>
      <c r="D75" s="147" t="str">
        <f t="shared" si="4"/>
        <v>..</v>
      </c>
      <c r="E75" s="147" t="str">
        <f t="shared" si="5"/>
        <v>..</v>
      </c>
      <c r="F75" s="147" t="str">
        <f t="shared" si="6"/>
        <v>..</v>
      </c>
      <c r="G75" s="147" t="str">
        <f t="shared" si="7"/>
        <v>..</v>
      </c>
      <c r="H75" s="68" t="str">
        <f t="shared" si="8"/>
        <v>..</v>
      </c>
    </row>
    <row r="76" spans="2:8">
      <c r="B76" s="148" t="s">
        <v>94</v>
      </c>
      <c r="C76" s="130" t="str">
        <f t="shared" si="3"/>
        <v>..</v>
      </c>
      <c r="D76" s="130" t="str">
        <f t="shared" si="4"/>
        <v>..</v>
      </c>
      <c r="E76" s="130" t="str">
        <f t="shared" si="5"/>
        <v>..</v>
      </c>
      <c r="F76" s="130" t="str">
        <f t="shared" si="6"/>
        <v>..</v>
      </c>
      <c r="G76" s="130" t="str">
        <f t="shared" si="7"/>
        <v>..</v>
      </c>
      <c r="H76" s="67" t="str">
        <f t="shared" si="8"/>
        <v>..</v>
      </c>
    </row>
    <row r="77" spans="2:8">
      <c r="B77" s="69" t="s">
        <v>29</v>
      </c>
      <c r="C77" s="70">
        <f>SUM(C59/H59)</f>
        <v>0.18518518518518517</v>
      </c>
      <c r="D77" s="70">
        <f>SUM(D59/H59)</f>
        <v>6.8376068376068383E-2</v>
      </c>
      <c r="E77" s="70">
        <f>SUM(E59/H59)</f>
        <v>0.20797720797720798</v>
      </c>
      <c r="F77" s="70">
        <f>SUM(F59/H59)</f>
        <v>0.38176638176638178</v>
      </c>
      <c r="G77" s="70">
        <f>SUM(G59/H59)</f>
        <v>0.15384615384615385</v>
      </c>
      <c r="H77" s="71">
        <f>C16</f>
        <v>351</v>
      </c>
    </row>
    <row r="78" spans="2:8">
      <c r="B78" s="72" t="s">
        <v>30</v>
      </c>
      <c r="C78" s="73">
        <f>SUM(C60/H60)</f>
        <v>0</v>
      </c>
      <c r="D78" s="73">
        <f>SUM(D60/H60)</f>
        <v>0</v>
      </c>
      <c r="E78" s="73">
        <f>SUM(E60/H60)</f>
        <v>0.20370370370370369</v>
      </c>
      <c r="F78" s="73">
        <f>SUM(F60/H60)</f>
        <v>0.44444444444444442</v>
      </c>
      <c r="G78" s="73">
        <f>SUM(G60/H60)</f>
        <v>0.29629629629629628</v>
      </c>
      <c r="H78" s="74">
        <f>C19</f>
        <v>54</v>
      </c>
    </row>
    <row r="79" spans="2:8">
      <c r="B79" s="75" t="s">
        <v>31</v>
      </c>
      <c r="C79" s="76">
        <f>SUM(C61/H61)</f>
        <v>0</v>
      </c>
      <c r="D79" s="76">
        <f>SUM(D61/H61)</f>
        <v>0</v>
      </c>
      <c r="E79" s="76">
        <f>SUM(E61/H61)</f>
        <v>0.53846153846153844</v>
      </c>
      <c r="F79" s="76">
        <f>SUM(F61/H61)</f>
        <v>0.42307692307692307</v>
      </c>
      <c r="G79" s="76">
        <f>SUM(G61/H61)</f>
        <v>0</v>
      </c>
      <c r="H79" s="77">
        <f>C20</f>
        <v>26</v>
      </c>
    </row>
    <row r="81" spans="2:8" ht="23.25">
      <c r="B81" s="127" t="s">
        <v>789</v>
      </c>
    </row>
    <row r="82" spans="2:8" ht="15.75">
      <c r="B82" s="150" t="s">
        <v>844</v>
      </c>
    </row>
    <row r="83" spans="2:8">
      <c r="B83" s="118" t="s">
        <v>845</v>
      </c>
    </row>
    <row r="84" spans="2:8">
      <c r="B84" s="151" t="s">
        <v>14</v>
      </c>
      <c r="C84" s="152" t="s">
        <v>32</v>
      </c>
      <c r="D84" s="152" t="s">
        <v>33</v>
      </c>
      <c r="E84" s="152" t="s">
        <v>34</v>
      </c>
      <c r="F84" s="152" t="s">
        <v>35</v>
      </c>
      <c r="G84" s="152">
        <v>2016</v>
      </c>
      <c r="H84" s="153" t="s">
        <v>28</v>
      </c>
    </row>
    <row r="85" spans="2:8">
      <c r="B85" s="1133" t="s">
        <v>73</v>
      </c>
      <c r="C85" s="155">
        <v>12</v>
      </c>
      <c r="D85" s="155">
        <v>6</v>
      </c>
      <c r="E85" s="155">
        <v>0</v>
      </c>
      <c r="F85" s="156">
        <v>0</v>
      </c>
      <c r="G85" s="155">
        <v>0</v>
      </c>
      <c r="H85" s="157">
        <v>19</v>
      </c>
    </row>
    <row r="86" spans="2:8">
      <c r="B86" s="188" t="s">
        <v>92</v>
      </c>
      <c r="C86" s="158">
        <v>13</v>
      </c>
      <c r="D86" s="158">
        <v>0</v>
      </c>
      <c r="E86" s="158">
        <v>0</v>
      </c>
      <c r="F86" s="159">
        <v>0</v>
      </c>
      <c r="G86" s="158">
        <v>0</v>
      </c>
      <c r="H86" s="160">
        <v>17</v>
      </c>
    </row>
    <row r="87" spans="2:8">
      <c r="B87" s="191" t="s">
        <v>136</v>
      </c>
      <c r="C87" s="155">
        <v>0</v>
      </c>
      <c r="D87" s="155">
        <v>0</v>
      </c>
      <c r="E87" s="155">
        <v>0</v>
      </c>
      <c r="F87" s="156">
        <v>0</v>
      </c>
      <c r="G87" s="155">
        <v>0</v>
      </c>
      <c r="H87" s="161">
        <v>6</v>
      </c>
    </row>
    <row r="88" spans="2:8">
      <c r="B88" s="1122" t="s">
        <v>86</v>
      </c>
      <c r="C88" s="158">
        <v>0</v>
      </c>
      <c r="D88" s="158">
        <v>0</v>
      </c>
      <c r="E88" s="158">
        <v>0</v>
      </c>
      <c r="F88" s="159">
        <v>0</v>
      </c>
      <c r="G88" s="158">
        <v>0</v>
      </c>
      <c r="H88" s="160">
        <v>6</v>
      </c>
    </row>
    <row r="89" spans="2:8">
      <c r="B89" s="1133" t="s">
        <v>74</v>
      </c>
      <c r="C89" s="155">
        <v>3</v>
      </c>
      <c r="D89" s="155">
        <v>0</v>
      </c>
      <c r="E89" s="155">
        <v>0</v>
      </c>
      <c r="F89" s="156">
        <v>0</v>
      </c>
      <c r="G89" s="155">
        <v>0</v>
      </c>
      <c r="H89" s="161">
        <v>6</v>
      </c>
    </row>
    <row r="90" spans="2:8">
      <c r="B90" s="188" t="s">
        <v>131</v>
      </c>
      <c r="C90" s="158">
        <v>4</v>
      </c>
      <c r="D90" s="158">
        <v>0</v>
      </c>
      <c r="E90" s="158">
        <v>0</v>
      </c>
      <c r="F90" s="159">
        <v>0</v>
      </c>
      <c r="G90" s="158">
        <v>0</v>
      </c>
      <c r="H90" s="160">
        <v>4</v>
      </c>
    </row>
    <row r="91" spans="2:8">
      <c r="B91" s="191" t="s">
        <v>79</v>
      </c>
      <c r="C91" s="155">
        <v>3</v>
      </c>
      <c r="D91" s="155">
        <v>0</v>
      </c>
      <c r="E91" s="155">
        <v>0</v>
      </c>
      <c r="F91" s="156">
        <v>0</v>
      </c>
      <c r="G91" s="155">
        <v>0</v>
      </c>
      <c r="H91" s="161">
        <v>4</v>
      </c>
    </row>
    <row r="92" spans="2:8">
      <c r="B92" s="1122" t="s">
        <v>76</v>
      </c>
      <c r="C92" s="158">
        <v>0</v>
      </c>
      <c r="D92" s="158">
        <v>0</v>
      </c>
      <c r="E92" s="158">
        <v>0</v>
      </c>
      <c r="F92" s="159">
        <v>0</v>
      </c>
      <c r="G92" s="158">
        <v>0</v>
      </c>
      <c r="H92" s="160">
        <v>3</v>
      </c>
    </row>
    <row r="93" spans="2:8">
      <c r="B93" s="191" t="s">
        <v>94</v>
      </c>
      <c r="C93" s="103" t="s">
        <v>94</v>
      </c>
      <c r="D93" s="103" t="s">
        <v>94</v>
      </c>
      <c r="E93" s="103" t="s">
        <v>94</v>
      </c>
      <c r="F93" s="241" t="s">
        <v>94</v>
      </c>
      <c r="G93" s="103" t="s">
        <v>94</v>
      </c>
      <c r="H93" s="68" t="s">
        <v>94</v>
      </c>
    </row>
    <row r="94" spans="2:8">
      <c r="B94" s="1122" t="s">
        <v>94</v>
      </c>
      <c r="C94" s="106" t="s">
        <v>94</v>
      </c>
      <c r="D94" s="106" t="s">
        <v>94</v>
      </c>
      <c r="E94" s="106" t="s">
        <v>94</v>
      </c>
      <c r="F94" s="238" t="s">
        <v>94</v>
      </c>
      <c r="G94" s="106" t="s">
        <v>94</v>
      </c>
      <c r="H94" s="67" t="s">
        <v>94</v>
      </c>
    </row>
    <row r="95" spans="2:8">
      <c r="B95" s="163" t="s">
        <v>30</v>
      </c>
      <c r="C95" s="163">
        <v>32</v>
      </c>
      <c r="D95" s="163">
        <v>6</v>
      </c>
      <c r="E95" s="163">
        <v>3</v>
      </c>
      <c r="F95" s="163">
        <v>3</v>
      </c>
      <c r="G95" s="164">
        <v>0</v>
      </c>
      <c r="H95" s="165">
        <f>C19</f>
        <v>54</v>
      </c>
    </row>
    <row r="96" spans="2:8">
      <c r="B96" s="166" t="s">
        <v>31</v>
      </c>
      <c r="C96" s="166">
        <v>18</v>
      </c>
      <c r="D96" s="166">
        <v>0</v>
      </c>
      <c r="E96" s="166">
        <v>4</v>
      </c>
      <c r="F96" s="166">
        <v>5</v>
      </c>
      <c r="G96" s="167">
        <v>0</v>
      </c>
      <c r="H96" s="168">
        <f>C20</f>
        <v>26</v>
      </c>
    </row>
    <row r="97" spans="2:20" ht="23.25">
      <c r="B97" s="127"/>
    </row>
    <row r="98" spans="2:20" ht="23.25">
      <c r="B98" s="127" t="s">
        <v>790</v>
      </c>
    </row>
    <row r="99" spans="2:20" ht="15.75">
      <c r="B99" s="150" t="s">
        <v>846</v>
      </c>
    </row>
    <row r="100" spans="2:20">
      <c r="B100" s="118" t="s">
        <v>845</v>
      </c>
      <c r="J100" s="148"/>
      <c r="K100" s="170"/>
      <c r="L100" s="170"/>
      <c r="M100" s="170"/>
      <c r="N100" s="170"/>
    </row>
    <row r="101" spans="2:20">
      <c r="B101" s="151" t="s">
        <v>14</v>
      </c>
      <c r="C101" s="152" t="s">
        <v>32</v>
      </c>
      <c r="D101" s="152" t="s">
        <v>33</v>
      </c>
      <c r="E101" s="152" t="s">
        <v>34</v>
      </c>
      <c r="F101" s="152" t="s">
        <v>35</v>
      </c>
      <c r="G101" s="152">
        <v>2016</v>
      </c>
      <c r="H101" s="153" t="s">
        <v>28</v>
      </c>
      <c r="J101" s="148"/>
      <c r="K101" s="170"/>
      <c r="L101" s="170"/>
      <c r="M101" s="170"/>
      <c r="N101" s="170"/>
    </row>
    <row r="102" spans="2:20">
      <c r="B102" s="191" t="str">
        <f t="shared" ref="B102:B111" si="9">B85</f>
        <v>New Zealand</v>
      </c>
      <c r="C102" s="64">
        <f t="shared" ref="C102:C109" si="10">IFERROR(C85/H85,"-")</f>
        <v>0.63157894736842102</v>
      </c>
      <c r="D102" s="64">
        <f t="shared" ref="D102:D109" si="11">IFERROR(D85/H85,"-")</f>
        <v>0.31578947368421051</v>
      </c>
      <c r="E102" s="64">
        <f t="shared" ref="E102:E109" si="12">IFERROR(E85/H85,"-")</f>
        <v>0</v>
      </c>
      <c r="F102" s="64">
        <f>SUM(F85/H85)</f>
        <v>0</v>
      </c>
      <c r="G102" s="64">
        <f t="shared" ref="G102:G109" si="13">IFERROR(G85/H85,"-")</f>
        <v>0</v>
      </c>
      <c r="H102" s="78">
        <f t="shared" ref="H102:H113" si="14">H85</f>
        <v>19</v>
      </c>
      <c r="J102" s="148"/>
      <c r="K102" s="170"/>
      <c r="L102" s="170"/>
      <c r="M102" s="170"/>
      <c r="N102" s="170"/>
    </row>
    <row r="103" spans="2:20">
      <c r="B103" s="188" t="str">
        <f t="shared" si="9"/>
        <v>England</v>
      </c>
      <c r="C103" s="54">
        <f t="shared" si="10"/>
        <v>0.76470588235294112</v>
      </c>
      <c r="D103" s="54">
        <f t="shared" si="11"/>
        <v>0</v>
      </c>
      <c r="E103" s="54">
        <f t="shared" si="12"/>
        <v>0</v>
      </c>
      <c r="F103" s="54">
        <f>SUM(F86/H86)</f>
        <v>0</v>
      </c>
      <c r="G103" s="54">
        <f t="shared" si="13"/>
        <v>0</v>
      </c>
      <c r="H103" s="79">
        <f t="shared" si="14"/>
        <v>17</v>
      </c>
      <c r="J103" s="148"/>
      <c r="K103" s="170"/>
      <c r="L103" s="170"/>
      <c r="M103" s="170"/>
      <c r="N103" s="170"/>
    </row>
    <row r="104" spans="2:20">
      <c r="B104" s="191" t="str">
        <f t="shared" si="9"/>
        <v>Austria</v>
      </c>
      <c r="C104" s="64">
        <f t="shared" si="10"/>
        <v>0</v>
      </c>
      <c r="D104" s="64">
        <f t="shared" si="11"/>
        <v>0</v>
      </c>
      <c r="E104" s="64">
        <f t="shared" si="12"/>
        <v>0</v>
      </c>
      <c r="F104" s="64">
        <f>SUM(F87/H87)</f>
        <v>0</v>
      </c>
      <c r="G104" s="64">
        <f t="shared" si="13"/>
        <v>0</v>
      </c>
      <c r="H104" s="80">
        <f t="shared" si="14"/>
        <v>6</v>
      </c>
      <c r="J104" s="148"/>
      <c r="K104" s="170"/>
      <c r="L104" s="170"/>
      <c r="M104" s="170"/>
      <c r="N104" s="170"/>
    </row>
    <row r="105" spans="2:20">
      <c r="B105" s="188" t="str">
        <f t="shared" si="9"/>
        <v>Thailand</v>
      </c>
      <c r="C105" s="54">
        <f t="shared" si="10"/>
        <v>0</v>
      </c>
      <c r="D105" s="54">
        <f t="shared" si="11"/>
        <v>0</v>
      </c>
      <c r="E105" s="54">
        <f t="shared" si="12"/>
        <v>0</v>
      </c>
      <c r="F105" s="54">
        <f>SUM(F88/H88)</f>
        <v>0</v>
      </c>
      <c r="G105" s="54">
        <f t="shared" si="13"/>
        <v>0</v>
      </c>
      <c r="H105" s="79">
        <f t="shared" si="14"/>
        <v>6</v>
      </c>
      <c r="J105" s="148"/>
      <c r="K105" s="170"/>
      <c r="L105" s="170"/>
      <c r="M105" s="170"/>
      <c r="N105" s="170"/>
    </row>
    <row r="106" spans="2:20">
      <c r="B106" s="191" t="str">
        <f t="shared" si="9"/>
        <v>United States of America</v>
      </c>
      <c r="C106" s="64">
        <f t="shared" si="10"/>
        <v>0.5</v>
      </c>
      <c r="D106" s="64">
        <f t="shared" si="11"/>
        <v>0</v>
      </c>
      <c r="E106" s="64">
        <f t="shared" si="12"/>
        <v>0</v>
      </c>
      <c r="F106" s="64">
        <f>SUM(F89/H89)</f>
        <v>0</v>
      </c>
      <c r="G106" s="64">
        <f t="shared" si="13"/>
        <v>0</v>
      </c>
      <c r="H106" s="80">
        <f t="shared" si="14"/>
        <v>6</v>
      </c>
      <c r="J106" s="148"/>
      <c r="K106" s="170"/>
      <c r="L106" s="170"/>
      <c r="M106" s="170"/>
      <c r="N106" s="170"/>
    </row>
    <row r="107" spans="2:20">
      <c r="B107" s="188" t="str">
        <f t="shared" si="9"/>
        <v>Scotland</v>
      </c>
      <c r="C107" s="54">
        <f t="shared" si="10"/>
        <v>1</v>
      </c>
      <c r="D107" s="54">
        <f t="shared" si="11"/>
        <v>0</v>
      </c>
      <c r="E107" s="54">
        <f t="shared" si="12"/>
        <v>0</v>
      </c>
      <c r="F107" s="54">
        <f>IFERROR(F90/H90,"-")</f>
        <v>0</v>
      </c>
      <c r="G107" s="54">
        <f t="shared" si="13"/>
        <v>0</v>
      </c>
      <c r="H107" s="79">
        <f t="shared" si="14"/>
        <v>4</v>
      </c>
      <c r="J107" s="148"/>
      <c r="K107" s="170"/>
      <c r="L107" s="170"/>
      <c r="M107" s="170"/>
      <c r="N107" s="170"/>
    </row>
    <row r="108" spans="2:20">
      <c r="B108" s="191" t="str">
        <f t="shared" si="9"/>
        <v>Germany</v>
      </c>
      <c r="C108" s="64">
        <f t="shared" si="10"/>
        <v>0.75</v>
      </c>
      <c r="D108" s="64">
        <f t="shared" si="11"/>
        <v>0</v>
      </c>
      <c r="E108" s="64">
        <f t="shared" si="12"/>
        <v>0</v>
      </c>
      <c r="F108" s="64">
        <f>IFERROR(F91/H91,"-")</f>
        <v>0</v>
      </c>
      <c r="G108" s="64">
        <f t="shared" si="13"/>
        <v>0</v>
      </c>
      <c r="H108" s="80">
        <f t="shared" si="14"/>
        <v>4</v>
      </c>
      <c r="O108" s="170"/>
      <c r="P108" s="170"/>
      <c r="Q108" s="170"/>
      <c r="R108" s="170"/>
      <c r="S108" s="170"/>
      <c r="T108" s="170"/>
    </row>
    <row r="109" spans="2:20">
      <c r="B109" s="188" t="str">
        <f t="shared" si="9"/>
        <v>Philippines</v>
      </c>
      <c r="C109" s="54">
        <f t="shared" si="10"/>
        <v>0</v>
      </c>
      <c r="D109" s="54">
        <f t="shared" si="11"/>
        <v>0</v>
      </c>
      <c r="E109" s="54">
        <f t="shared" si="12"/>
        <v>0</v>
      </c>
      <c r="F109" s="54">
        <f>IFERROR(F92/H92,"-")</f>
        <v>0</v>
      </c>
      <c r="G109" s="54">
        <f t="shared" si="13"/>
        <v>0</v>
      </c>
      <c r="H109" s="79">
        <f t="shared" si="14"/>
        <v>3</v>
      </c>
    </row>
    <row r="110" spans="2:20">
      <c r="B110" s="191" t="str">
        <f t="shared" si="9"/>
        <v>..</v>
      </c>
      <c r="C110" s="64" t="str">
        <f>IFERROR(C93/$H$93,"..")</f>
        <v>..</v>
      </c>
      <c r="D110" s="64" t="str">
        <f>IFERROR(D93/$H$93,"..")</f>
        <v>..</v>
      </c>
      <c r="E110" s="64" t="str">
        <f>IFERROR(E93/$H$93,"..")</f>
        <v>..</v>
      </c>
      <c r="F110" s="64" t="str">
        <f>IFERROR(F93/$H$93,"..")</f>
        <v>..</v>
      </c>
      <c r="G110" s="64" t="str">
        <f>IFERROR(G93/$H$93,"..")</f>
        <v>..</v>
      </c>
      <c r="H110" s="80" t="str">
        <f t="shared" si="14"/>
        <v>..</v>
      </c>
    </row>
    <row r="111" spans="2:20">
      <c r="B111" s="1134" t="str">
        <f t="shared" si="9"/>
        <v>..</v>
      </c>
      <c r="C111" s="82" t="str">
        <f>IFERROR(C94/H94,"..")</f>
        <v>..</v>
      </c>
      <c r="D111" s="82" t="str">
        <f>IFERROR(D94/I94,"..")</f>
        <v>..</v>
      </c>
      <c r="E111" s="82" t="str">
        <f>IFERROR(E94/J94,"..")</f>
        <v>..</v>
      </c>
      <c r="F111" s="82" t="str">
        <f>IFERROR(F94/K94,"..")</f>
        <v>..</v>
      </c>
      <c r="G111" s="82" t="str">
        <f>IFERROR(G94/L94,"..")</f>
        <v>..</v>
      </c>
      <c r="H111" s="83" t="str">
        <f t="shared" si="14"/>
        <v>..</v>
      </c>
    </row>
    <row r="112" spans="2:20">
      <c r="B112" s="72" t="s">
        <v>30</v>
      </c>
      <c r="C112" s="73">
        <f>IFERROR(C95/H95,"-")</f>
        <v>0.59259259259259256</v>
      </c>
      <c r="D112" s="73">
        <f>IFERROR(D95/H95,"-")</f>
        <v>0.1111111111111111</v>
      </c>
      <c r="E112" s="73">
        <f>IFERROR(E95/H95,"-")</f>
        <v>5.5555555555555552E-2</v>
      </c>
      <c r="F112" s="73">
        <f>IFERROR(F95/H95,"-")</f>
        <v>5.5555555555555552E-2</v>
      </c>
      <c r="G112" s="73">
        <f>IFERROR(G95/H95,"-")</f>
        <v>0</v>
      </c>
      <c r="H112" s="171">
        <f t="shared" si="14"/>
        <v>54</v>
      </c>
    </row>
    <row r="113" spans="2:8">
      <c r="B113" s="75" t="s">
        <v>31</v>
      </c>
      <c r="C113" s="76">
        <f>IFERROR(C96/H96,"-")</f>
        <v>0.69230769230769229</v>
      </c>
      <c r="D113" s="76">
        <f>IFERROR(D96/H96,"-")</f>
        <v>0</v>
      </c>
      <c r="E113" s="76">
        <f>IFERROR(E96/H96,"-")</f>
        <v>0.15384615384615385</v>
      </c>
      <c r="F113" s="76">
        <f>SUM(F95/H95)</f>
        <v>5.5555555555555552E-2</v>
      </c>
      <c r="G113" s="76">
        <f>IFERROR(G96/H96,"-")</f>
        <v>0</v>
      </c>
      <c r="H113" s="172">
        <f t="shared" si="14"/>
        <v>26</v>
      </c>
    </row>
    <row r="115" spans="2:8" ht="23.25">
      <c r="B115" s="127" t="s">
        <v>791</v>
      </c>
    </row>
    <row r="116" spans="2:8" ht="15.75">
      <c r="B116" s="150" t="s">
        <v>330</v>
      </c>
    </row>
    <row r="117" spans="2:8" ht="25.5">
      <c r="B117" s="173" t="s">
        <v>36</v>
      </c>
      <c r="C117" s="173" t="s">
        <v>37</v>
      </c>
      <c r="D117" s="173" t="s">
        <v>38</v>
      </c>
      <c r="E117" s="173" t="s">
        <v>6</v>
      </c>
      <c r="F117" s="173" t="s">
        <v>39</v>
      </c>
      <c r="G117" s="173" t="s">
        <v>7</v>
      </c>
      <c r="H117" s="173" t="s">
        <v>40</v>
      </c>
    </row>
    <row r="118" spans="2:8">
      <c r="B118" s="155" t="s">
        <v>97</v>
      </c>
      <c r="C118" s="103">
        <v>0</v>
      </c>
      <c r="D118" s="103">
        <v>6</v>
      </c>
      <c r="E118" s="103">
        <v>6</v>
      </c>
      <c r="F118" s="224">
        <f>IFERROR((Table792226894100118130[[#This Row],[Persons]]/$C$23),"..")</f>
        <v>0.2608695652173913</v>
      </c>
      <c r="G118" s="103" t="s">
        <v>94</v>
      </c>
      <c r="H118" s="64" t="str">
        <f t="shared" ref="H118:H128" si="15">IFERROR((E118-G118)/G118,"..")</f>
        <v>..</v>
      </c>
    </row>
    <row r="119" spans="2:8">
      <c r="B119" s="158" t="s">
        <v>107</v>
      </c>
      <c r="C119" s="106">
        <v>0</v>
      </c>
      <c r="D119" s="106">
        <v>0</v>
      </c>
      <c r="E119" s="106">
        <v>6</v>
      </c>
      <c r="F119" s="226">
        <f>IFERROR((Table792226894100118130[[#This Row],[Persons]]/$C$23),"..")</f>
        <v>0.2608695652173913</v>
      </c>
      <c r="G119" s="106" t="s">
        <v>94</v>
      </c>
      <c r="H119" s="54" t="str">
        <f t="shared" si="15"/>
        <v>..</v>
      </c>
    </row>
    <row r="120" spans="2:8">
      <c r="B120" s="155" t="s">
        <v>54</v>
      </c>
      <c r="C120" s="103">
        <v>0</v>
      </c>
      <c r="D120" s="103">
        <v>4</v>
      </c>
      <c r="E120" s="103">
        <v>4</v>
      </c>
      <c r="F120" s="224">
        <f>IFERROR((Table792226894100118130[[#This Row],[Persons]]/$C$23),"..")</f>
        <v>0.17391304347826086</v>
      </c>
      <c r="G120" s="103" t="s">
        <v>94</v>
      </c>
      <c r="H120" s="64" t="str">
        <f t="shared" si="15"/>
        <v>..</v>
      </c>
    </row>
    <row r="121" spans="2:8">
      <c r="B121" s="158" t="s">
        <v>95</v>
      </c>
      <c r="C121" s="106">
        <v>0</v>
      </c>
      <c r="D121" s="106">
        <v>0</v>
      </c>
      <c r="E121" s="106">
        <v>3</v>
      </c>
      <c r="F121" s="226">
        <f>IFERROR((Table792226894100118130[[#This Row],[Persons]]/$C$23),"..")</f>
        <v>0.13043478260869565</v>
      </c>
      <c r="G121" s="106" t="s">
        <v>94</v>
      </c>
      <c r="H121" s="54" t="str">
        <f t="shared" si="15"/>
        <v>..</v>
      </c>
    </row>
    <row r="122" spans="2:8">
      <c r="B122" s="155" t="s">
        <v>111</v>
      </c>
      <c r="C122" s="103">
        <v>0</v>
      </c>
      <c r="D122" s="103">
        <v>3</v>
      </c>
      <c r="E122" s="103">
        <v>3</v>
      </c>
      <c r="F122" s="224">
        <f>IFERROR((Table792226894100118130[[#This Row],[Persons]]/$C$23),"..")</f>
        <v>0.13043478260869565</v>
      </c>
      <c r="G122" s="103" t="s">
        <v>94</v>
      </c>
      <c r="H122" s="64" t="str">
        <f t="shared" si="15"/>
        <v>..</v>
      </c>
    </row>
    <row r="123" spans="2:8">
      <c r="B123" s="158" t="s">
        <v>94</v>
      </c>
      <c r="C123" s="106" t="s">
        <v>94</v>
      </c>
      <c r="D123" s="106" t="s">
        <v>94</v>
      </c>
      <c r="E123" s="106" t="s">
        <v>94</v>
      </c>
      <c r="F123" s="226" t="str">
        <f>IFERROR((Table792226894100118130[[#This Row],[Persons]]/$C$23),"..")</f>
        <v>..</v>
      </c>
      <c r="G123" s="106" t="s">
        <v>94</v>
      </c>
      <c r="H123" s="54" t="str">
        <f t="shared" si="15"/>
        <v>..</v>
      </c>
    </row>
    <row r="124" spans="2:8">
      <c r="B124" s="155" t="s">
        <v>94</v>
      </c>
      <c r="C124" s="103" t="s">
        <v>94</v>
      </c>
      <c r="D124" s="103" t="s">
        <v>94</v>
      </c>
      <c r="E124" s="103" t="s">
        <v>94</v>
      </c>
      <c r="F124" s="224" t="str">
        <f>IFERROR((Table792226894100118130[[#This Row],[Persons]]/$C$23),"..")</f>
        <v>..</v>
      </c>
      <c r="G124" s="106" t="s">
        <v>94</v>
      </c>
      <c r="H124" s="64" t="str">
        <f t="shared" si="15"/>
        <v>..</v>
      </c>
    </row>
    <row r="125" spans="2:8">
      <c r="B125" s="158" t="s">
        <v>94</v>
      </c>
      <c r="C125" s="106" t="s">
        <v>94</v>
      </c>
      <c r="D125" s="106" t="s">
        <v>94</v>
      </c>
      <c r="E125" s="106" t="s">
        <v>94</v>
      </c>
      <c r="F125" s="226" t="str">
        <f>IFERROR((Table792226894100118130[[#This Row],[Persons]]/$C$23),"..")</f>
        <v>..</v>
      </c>
      <c r="G125" s="106" t="s">
        <v>94</v>
      </c>
      <c r="H125" s="54" t="str">
        <f t="shared" si="15"/>
        <v>..</v>
      </c>
    </row>
    <row r="126" spans="2:8">
      <c r="B126" s="155" t="s">
        <v>94</v>
      </c>
      <c r="C126" s="103" t="s">
        <v>94</v>
      </c>
      <c r="D126" s="103" t="s">
        <v>94</v>
      </c>
      <c r="E126" s="103" t="s">
        <v>94</v>
      </c>
      <c r="F126" s="224" t="str">
        <f>IFERROR((Table792226894100118130[[#This Row],[Persons]]/$C$23),"..")</f>
        <v>..</v>
      </c>
      <c r="G126" s="103" t="s">
        <v>94</v>
      </c>
      <c r="H126" s="64" t="str">
        <f t="shared" si="15"/>
        <v>..</v>
      </c>
    </row>
    <row r="127" spans="2:8">
      <c r="B127" s="158" t="s">
        <v>94</v>
      </c>
      <c r="C127" s="106" t="s">
        <v>94</v>
      </c>
      <c r="D127" s="106" t="s">
        <v>94</v>
      </c>
      <c r="E127" s="106" t="s">
        <v>94</v>
      </c>
      <c r="F127" s="226" t="str">
        <f>IFERROR((Table792226894100118130[[#This Row],[Persons]]/$C$23),"..")</f>
        <v>..</v>
      </c>
      <c r="G127" s="106" t="s">
        <v>94</v>
      </c>
      <c r="H127" s="54" t="str">
        <f t="shared" si="15"/>
        <v>..</v>
      </c>
    </row>
    <row r="128" spans="2:8">
      <c r="B128" s="158" t="s">
        <v>127</v>
      </c>
      <c r="C128" s="106">
        <f>Table792226894100118130[[#Totals],[Males]]-SUM(C118:C127)</f>
        <v>10</v>
      </c>
      <c r="D128" s="106">
        <f>Table792226894100118130[[#Totals],[Females]]-SUM(D118:D127)</f>
        <v>-1</v>
      </c>
      <c r="E128" s="106">
        <f>Table792226894100118130[[#Totals],[Persons]]-SUM(E118:E127)</f>
        <v>1</v>
      </c>
      <c r="F128" s="226">
        <f>IFERROR((Table792226894100118130[[#This Row],[Persons]]/$C$23),"..")</f>
        <v>4.3478260869565216E-2</v>
      </c>
      <c r="G128" s="106" t="s">
        <v>94</v>
      </c>
      <c r="H128" s="54" t="str">
        <f t="shared" si="15"/>
        <v>..</v>
      </c>
    </row>
    <row r="129" spans="2:9">
      <c r="B129" s="284" t="s">
        <v>872</v>
      </c>
      <c r="C129" s="175" t="s">
        <v>337</v>
      </c>
      <c r="D129" s="175" t="s">
        <v>338</v>
      </c>
      <c r="E129" s="176" t="s">
        <v>339</v>
      </c>
      <c r="F129" s="177" t="s">
        <v>22</v>
      </c>
      <c r="G129" s="176" t="s">
        <v>334</v>
      </c>
      <c r="H129" s="637">
        <f>(Table792226894100118130[[#Totals],[Persons]]-G129)/G129</f>
        <v>2.8333333333333335</v>
      </c>
    </row>
    <row r="130" spans="2:9">
      <c r="B130" s="389" t="s">
        <v>873</v>
      </c>
      <c r="C130" s="180"/>
      <c r="D130" s="180"/>
      <c r="E130" s="180"/>
      <c r="F130" s="181"/>
      <c r="G130" s="180"/>
      <c r="H130" s="180"/>
      <c r="I130" s="182"/>
    </row>
    <row r="131" spans="2:9">
      <c r="B131" s="183"/>
      <c r="C131" s="183"/>
      <c r="D131" s="183"/>
      <c r="E131" s="183"/>
      <c r="F131" s="174"/>
      <c r="G131" s="184"/>
      <c r="H131" s="183"/>
      <c r="I131" s="183"/>
    </row>
    <row r="132" spans="2:9" ht="23.25">
      <c r="B132" s="127" t="s">
        <v>792</v>
      </c>
    </row>
    <row r="133" spans="2:9" ht="15.75">
      <c r="B133" s="150" t="s">
        <v>825</v>
      </c>
    </row>
    <row r="134" spans="2:9">
      <c r="B134" s="992" t="s">
        <v>36</v>
      </c>
      <c r="C134" s="1135"/>
      <c r="D134" s="993" t="s">
        <v>42</v>
      </c>
      <c r="E134" s="993" t="s">
        <v>43</v>
      </c>
      <c r="F134" s="993" t="s">
        <v>44</v>
      </c>
      <c r="G134" s="993" t="s">
        <v>45</v>
      </c>
      <c r="H134" s="993" t="s">
        <v>46</v>
      </c>
      <c r="I134" s="544" t="s">
        <v>28</v>
      </c>
    </row>
    <row r="135" spans="2:9">
      <c r="B135" s="185"/>
      <c r="C135" s="1136"/>
      <c r="D135" s="186"/>
      <c r="E135" s="186"/>
      <c r="F135" s="186"/>
      <c r="G135" s="186"/>
      <c r="H135" s="186"/>
      <c r="I135" s="187"/>
    </row>
    <row r="136" spans="2:9">
      <c r="B136" s="188" t="s">
        <v>48</v>
      </c>
      <c r="C136" s="159"/>
      <c r="D136" s="238"/>
      <c r="E136" s="238"/>
      <c r="F136" s="238"/>
      <c r="G136" s="238"/>
      <c r="H136" s="238"/>
      <c r="I136" s="554"/>
    </row>
    <row r="137" spans="2:9">
      <c r="B137" s="191" t="s">
        <v>49</v>
      </c>
      <c r="C137" s="156"/>
      <c r="D137" s="241"/>
      <c r="E137" s="241"/>
      <c r="F137" s="241"/>
      <c r="G137" s="241"/>
      <c r="H137" s="241"/>
      <c r="I137" s="203"/>
    </row>
    <row r="138" spans="2:9">
      <c r="B138" s="188" t="s">
        <v>50</v>
      </c>
      <c r="C138" s="159"/>
      <c r="D138" s="238"/>
      <c r="E138" s="238"/>
      <c r="F138" s="238"/>
      <c r="G138" s="238"/>
      <c r="H138" s="238"/>
      <c r="I138" s="554"/>
    </row>
    <row r="139" spans="2:9">
      <c r="B139" s="194" t="s">
        <v>51</v>
      </c>
      <c r="C139" s="1137"/>
      <c r="D139" s="96" t="str">
        <f>IFERROR(D137/$I$138,"..")</f>
        <v>..</v>
      </c>
      <c r="E139" s="96" t="str">
        <f t="shared" ref="E139:I139" si="16">IFERROR(E137/$I$138,"..")</f>
        <v>..</v>
      </c>
      <c r="F139" s="96" t="str">
        <f t="shared" si="16"/>
        <v>..</v>
      </c>
      <c r="G139" s="96" t="str">
        <f t="shared" si="16"/>
        <v>..</v>
      </c>
      <c r="H139" s="96" t="str">
        <f t="shared" si="16"/>
        <v>..</v>
      </c>
      <c r="I139" s="97" t="str">
        <f t="shared" si="16"/>
        <v>..</v>
      </c>
    </row>
    <row r="140" spans="2:9">
      <c r="B140" s="195"/>
      <c r="C140" s="1138"/>
      <c r="D140" s="196"/>
      <c r="E140" s="196"/>
      <c r="F140" s="196"/>
      <c r="G140" s="196"/>
      <c r="H140" s="196"/>
      <c r="I140" s="197"/>
    </row>
    <row r="141" spans="2:9">
      <c r="B141" s="191" t="s">
        <v>48</v>
      </c>
      <c r="C141" s="156"/>
      <c r="D141" s="241"/>
      <c r="E141" s="241"/>
      <c r="F141" s="241"/>
      <c r="G141" s="241"/>
      <c r="H141" s="241"/>
      <c r="I141" s="203"/>
    </row>
    <row r="142" spans="2:9">
      <c r="B142" s="188" t="s">
        <v>49</v>
      </c>
      <c r="C142" s="159"/>
      <c r="D142" s="238"/>
      <c r="E142" s="238"/>
      <c r="F142" s="238"/>
      <c r="G142" s="238"/>
      <c r="H142" s="238"/>
      <c r="I142" s="554"/>
    </row>
    <row r="143" spans="2:9">
      <c r="B143" s="191" t="s">
        <v>50</v>
      </c>
      <c r="C143" s="156"/>
      <c r="D143" s="241"/>
      <c r="E143" s="241"/>
      <c r="F143" s="241"/>
      <c r="G143" s="241"/>
      <c r="H143" s="241"/>
      <c r="I143" s="203"/>
    </row>
    <row r="144" spans="2:9">
      <c r="B144" s="202" t="s">
        <v>51</v>
      </c>
      <c r="C144" s="1139"/>
      <c r="D144" s="101" t="str">
        <f>IFERROR(D142/$I$143,"..")</f>
        <v>..</v>
      </c>
      <c r="E144" s="101" t="str">
        <f t="shared" ref="E144:I144" si="17">IFERROR(E142/$I$143,"..")</f>
        <v>..</v>
      </c>
      <c r="F144" s="101" t="str">
        <f t="shared" si="17"/>
        <v>..</v>
      </c>
      <c r="G144" s="101" t="str">
        <f t="shared" si="17"/>
        <v>..</v>
      </c>
      <c r="H144" s="101" t="str">
        <f t="shared" si="17"/>
        <v>..</v>
      </c>
      <c r="I144" s="99" t="str">
        <f t="shared" si="17"/>
        <v>..</v>
      </c>
    </row>
    <row r="145" spans="2:9">
      <c r="B145" s="185"/>
      <c r="C145" s="1136"/>
      <c r="D145" s="186"/>
      <c r="E145" s="186"/>
      <c r="F145" s="186"/>
      <c r="G145" s="186"/>
      <c r="H145" s="186"/>
      <c r="I145" s="203"/>
    </row>
    <row r="146" spans="2:9">
      <c r="B146" s="188" t="s">
        <v>48</v>
      </c>
      <c r="C146" s="159"/>
      <c r="D146" s="238"/>
      <c r="E146" s="238"/>
      <c r="F146" s="238"/>
      <c r="G146" s="239"/>
      <c r="H146" s="1140"/>
      <c r="I146" s="554"/>
    </row>
    <row r="147" spans="2:9">
      <c r="B147" s="191" t="s">
        <v>49</v>
      </c>
      <c r="C147" s="156"/>
      <c r="D147" s="241"/>
      <c r="E147" s="241"/>
      <c r="F147" s="241"/>
      <c r="G147" s="242"/>
      <c r="H147" s="241"/>
      <c r="I147" s="203"/>
    </row>
    <row r="148" spans="2:9">
      <c r="B148" s="188" t="s">
        <v>50</v>
      </c>
      <c r="C148" s="159"/>
      <c r="D148" s="238"/>
      <c r="E148" s="238"/>
      <c r="F148" s="238"/>
      <c r="G148" s="238"/>
      <c r="H148" s="1141"/>
      <c r="I148" s="554"/>
    </row>
    <row r="149" spans="2:9">
      <c r="B149" s="194" t="s">
        <v>51</v>
      </c>
      <c r="C149" s="1137"/>
      <c r="D149" s="96" t="str">
        <f>IFERROR(D147/$I$148,"..")</f>
        <v>..</v>
      </c>
      <c r="E149" s="96" t="str">
        <f t="shared" ref="E149:I149" si="18">IFERROR(E147/$I$148,"..")</f>
        <v>..</v>
      </c>
      <c r="F149" s="96" t="str">
        <f t="shared" si="18"/>
        <v>..</v>
      </c>
      <c r="G149" s="96" t="str">
        <f t="shared" si="18"/>
        <v>..</v>
      </c>
      <c r="H149" s="96" t="str">
        <f t="shared" si="18"/>
        <v>..</v>
      </c>
      <c r="I149" s="97" t="str">
        <f t="shared" si="18"/>
        <v>..</v>
      </c>
    </row>
    <row r="150" spans="2:9">
      <c r="B150" s="195"/>
      <c r="C150" s="1138"/>
      <c r="D150" s="196"/>
      <c r="E150" s="196"/>
      <c r="F150" s="196"/>
      <c r="G150" s="196"/>
      <c r="H150" s="196"/>
      <c r="I150" s="197"/>
    </row>
    <row r="151" spans="2:9">
      <c r="B151" s="191" t="s">
        <v>48</v>
      </c>
      <c r="C151" s="156"/>
      <c r="D151" s="241"/>
      <c r="E151" s="241"/>
      <c r="F151" s="241"/>
      <c r="G151" s="241"/>
      <c r="H151" s="241"/>
      <c r="I151" s="203"/>
    </row>
    <row r="152" spans="2:9">
      <c r="B152" s="188" t="s">
        <v>49</v>
      </c>
      <c r="C152" s="159"/>
      <c r="D152" s="238"/>
      <c r="E152" s="238"/>
      <c r="F152" s="238"/>
      <c r="G152" s="238"/>
      <c r="H152" s="238"/>
      <c r="I152" s="554"/>
    </row>
    <row r="153" spans="2:9">
      <c r="B153" s="191" t="s">
        <v>50</v>
      </c>
      <c r="C153" s="156"/>
      <c r="D153" s="241"/>
      <c r="E153" s="241"/>
      <c r="F153" s="241"/>
      <c r="G153" s="241"/>
      <c r="H153" s="241"/>
      <c r="I153" s="203"/>
    </row>
    <row r="154" spans="2:9">
      <c r="B154" s="202" t="s">
        <v>51</v>
      </c>
      <c r="C154" s="1139"/>
      <c r="D154" s="98" t="str">
        <f>IFERROR(D152/$I$153,"..")</f>
        <v>..</v>
      </c>
      <c r="E154" s="98" t="str">
        <f t="shared" ref="E154:I154" si="19">IFERROR(E152/$I$153,"..")</f>
        <v>..</v>
      </c>
      <c r="F154" s="98" t="str">
        <f t="shared" si="19"/>
        <v>..</v>
      </c>
      <c r="G154" s="98" t="str">
        <f t="shared" si="19"/>
        <v>..</v>
      </c>
      <c r="H154" s="98" t="str">
        <f t="shared" si="19"/>
        <v>..</v>
      </c>
      <c r="I154" s="100" t="str">
        <f t="shared" si="19"/>
        <v>..</v>
      </c>
    </row>
    <row r="155" spans="2:9">
      <c r="B155" s="185"/>
      <c r="C155" s="1136"/>
      <c r="D155" s="186"/>
      <c r="E155" s="186"/>
      <c r="F155" s="186"/>
      <c r="G155" s="186"/>
      <c r="H155" s="186"/>
      <c r="I155" s="187"/>
    </row>
    <row r="156" spans="2:9">
      <c r="B156" s="188" t="s">
        <v>48</v>
      </c>
      <c r="C156" s="159"/>
      <c r="D156" s="238"/>
      <c r="E156" s="238"/>
      <c r="F156" s="238"/>
      <c r="G156" s="238"/>
      <c r="H156" s="238"/>
      <c r="I156" s="554"/>
    </row>
    <row r="157" spans="2:9">
      <c r="B157" s="191" t="s">
        <v>49</v>
      </c>
      <c r="C157" s="156"/>
      <c r="D157" s="241"/>
      <c r="E157" s="241"/>
      <c r="F157" s="241"/>
      <c r="G157" s="241"/>
      <c r="H157" s="241"/>
      <c r="I157" s="203"/>
    </row>
    <row r="158" spans="2:9">
      <c r="B158" s="188" t="s">
        <v>50</v>
      </c>
      <c r="C158" s="159"/>
      <c r="D158" s="238"/>
      <c r="E158" s="238"/>
      <c r="F158" s="238"/>
      <c r="G158" s="238"/>
      <c r="H158" s="238"/>
      <c r="I158" s="554"/>
    </row>
    <row r="159" spans="2:9">
      <c r="B159" s="194" t="s">
        <v>51</v>
      </c>
      <c r="C159" s="1137"/>
      <c r="D159" s="96" t="str">
        <f>IFERROR(D157/$I$158,"..")</f>
        <v>..</v>
      </c>
      <c r="E159" s="96" t="str">
        <f t="shared" ref="E159:I159" si="20">IFERROR(E157/$I$158,"..")</f>
        <v>..</v>
      </c>
      <c r="F159" s="96" t="str">
        <f t="shared" si="20"/>
        <v>..</v>
      </c>
      <c r="G159" s="96" t="str">
        <f t="shared" si="20"/>
        <v>..</v>
      </c>
      <c r="H159" s="96" t="str">
        <f t="shared" si="20"/>
        <v>..</v>
      </c>
      <c r="I159" s="97" t="str">
        <f t="shared" si="20"/>
        <v>..</v>
      </c>
    </row>
    <row r="160" spans="2:9">
      <c r="B160" s="195" t="s">
        <v>114</v>
      </c>
      <c r="C160" s="1138"/>
      <c r="D160" s="196"/>
      <c r="E160" s="196"/>
      <c r="F160" s="196"/>
      <c r="G160" s="196"/>
      <c r="H160" s="196"/>
      <c r="I160" s="197"/>
    </row>
    <row r="161" spans="2:10">
      <c r="B161" s="191" t="s">
        <v>48</v>
      </c>
      <c r="C161" s="156"/>
      <c r="D161" s="241"/>
      <c r="E161" s="241"/>
      <c r="F161" s="241"/>
      <c r="G161" s="241"/>
      <c r="H161" s="241"/>
      <c r="I161" s="203">
        <v>13</v>
      </c>
    </row>
    <row r="162" spans="2:10">
      <c r="B162" s="188" t="s">
        <v>49</v>
      </c>
      <c r="C162" s="159"/>
      <c r="D162" s="238"/>
      <c r="E162" s="238"/>
      <c r="F162" s="238"/>
      <c r="G162" s="238"/>
      <c r="H162" s="238"/>
      <c r="I162" s="554"/>
    </row>
    <row r="163" spans="2:10">
      <c r="B163" s="191" t="s">
        <v>50</v>
      </c>
      <c r="C163" s="156"/>
      <c r="D163" s="241">
        <v>3</v>
      </c>
      <c r="E163" s="241"/>
      <c r="F163" s="241"/>
      <c r="G163" s="241"/>
      <c r="H163" s="241"/>
      <c r="I163" s="203">
        <v>11</v>
      </c>
    </row>
    <row r="164" spans="2:10">
      <c r="B164" s="202" t="s">
        <v>51</v>
      </c>
      <c r="C164" s="1139"/>
      <c r="D164" s="101">
        <f>IFERROR(D162/$I$163,"..")</f>
        <v>0</v>
      </c>
      <c r="E164" s="101">
        <f t="shared" ref="E164:I164" si="21">IFERROR(E162/$I$163,"-")</f>
        <v>0</v>
      </c>
      <c r="F164" s="101">
        <f t="shared" si="21"/>
        <v>0</v>
      </c>
      <c r="G164" s="101">
        <f t="shared" si="21"/>
        <v>0</v>
      </c>
      <c r="H164" s="101">
        <f t="shared" si="21"/>
        <v>0</v>
      </c>
      <c r="I164" s="99">
        <f t="shared" si="21"/>
        <v>0</v>
      </c>
    </row>
    <row r="166" spans="2:10" ht="23.25">
      <c r="B166" s="127" t="s">
        <v>793</v>
      </c>
    </row>
    <row r="167" spans="2:10" ht="15.75">
      <c r="B167" s="150" t="s">
        <v>826</v>
      </c>
      <c r="J167" s="134"/>
    </row>
    <row r="168" spans="2:10" ht="25.5">
      <c r="B168" s="1142"/>
      <c r="C168" s="1269" t="s">
        <v>125</v>
      </c>
      <c r="D168" s="1270"/>
      <c r="E168" s="1270"/>
      <c r="F168" s="1271"/>
      <c r="G168" s="1143" t="s">
        <v>10</v>
      </c>
      <c r="H168" s="1144" t="s">
        <v>58</v>
      </c>
      <c r="I168" s="1145" t="s">
        <v>70</v>
      </c>
    </row>
    <row r="169" spans="2:10" ht="63.75">
      <c r="B169" s="560" t="s">
        <v>879</v>
      </c>
      <c r="C169" s="214" t="s">
        <v>61</v>
      </c>
      <c r="D169" s="214" t="s">
        <v>60</v>
      </c>
      <c r="E169" s="214" t="s">
        <v>59</v>
      </c>
      <c r="F169" s="609" t="s">
        <v>848</v>
      </c>
      <c r="G169" s="214" t="s">
        <v>122</v>
      </c>
      <c r="H169" s="214" t="s">
        <v>639</v>
      </c>
      <c r="I169" s="1146" t="s">
        <v>640</v>
      </c>
    </row>
    <row r="170" spans="2:10">
      <c r="B170" s="1147" t="s">
        <v>116</v>
      </c>
      <c r="C170" s="217">
        <v>139</v>
      </c>
      <c r="D170" s="217">
        <v>4</v>
      </c>
      <c r="E170" s="217">
        <v>25</v>
      </c>
      <c r="F170" s="217">
        <v>5</v>
      </c>
      <c r="G170" s="217">
        <v>9</v>
      </c>
      <c r="H170" s="217">
        <v>0</v>
      </c>
      <c r="I170" s="1148">
        <v>177</v>
      </c>
    </row>
    <row r="171" spans="2:10">
      <c r="B171" s="1147" t="s">
        <v>115</v>
      </c>
      <c r="C171" s="217">
        <v>128</v>
      </c>
      <c r="D171" s="217">
        <v>9</v>
      </c>
      <c r="E171" s="217">
        <v>21</v>
      </c>
      <c r="F171" s="217">
        <v>0</v>
      </c>
      <c r="G171" s="217">
        <v>37</v>
      </c>
      <c r="H171" s="217">
        <v>6</v>
      </c>
      <c r="I171" s="1149">
        <v>206</v>
      </c>
    </row>
    <row r="172" spans="2:10">
      <c r="B172" s="1147" t="s">
        <v>117</v>
      </c>
      <c r="C172" s="217">
        <v>39</v>
      </c>
      <c r="D172" s="217">
        <v>0</v>
      </c>
      <c r="E172" s="217">
        <v>6</v>
      </c>
      <c r="F172" s="217">
        <v>0</v>
      </c>
      <c r="G172" s="217">
        <v>9</v>
      </c>
      <c r="H172" s="217">
        <v>3</v>
      </c>
      <c r="I172" s="1149">
        <v>64</v>
      </c>
    </row>
    <row r="173" spans="2:10">
      <c r="B173" s="1147" t="s">
        <v>119</v>
      </c>
      <c r="C173" s="217">
        <v>36</v>
      </c>
      <c r="D173" s="217">
        <v>4</v>
      </c>
      <c r="E173" s="217">
        <v>5</v>
      </c>
      <c r="F173" s="217">
        <v>0</v>
      </c>
      <c r="G173" s="217">
        <v>9</v>
      </c>
      <c r="H173" s="217">
        <v>0</v>
      </c>
      <c r="I173" s="1149">
        <v>58</v>
      </c>
    </row>
    <row r="174" spans="2:10">
      <c r="B174" s="1147" t="s">
        <v>97</v>
      </c>
      <c r="C174" s="217">
        <v>11</v>
      </c>
      <c r="D174" s="217">
        <v>0</v>
      </c>
      <c r="E174" s="217">
        <v>5</v>
      </c>
      <c r="F174" s="217">
        <v>0</v>
      </c>
      <c r="G174" s="217">
        <v>7</v>
      </c>
      <c r="H174" s="217">
        <v>0</v>
      </c>
      <c r="I174" s="1149">
        <v>22</v>
      </c>
    </row>
    <row r="175" spans="2:10">
      <c r="B175" s="1147" t="s">
        <v>111</v>
      </c>
      <c r="C175" s="217">
        <v>4</v>
      </c>
      <c r="D175" s="217">
        <v>0</v>
      </c>
      <c r="E175" s="217">
        <v>0</v>
      </c>
      <c r="F175" s="217">
        <v>0</v>
      </c>
      <c r="G175" s="217">
        <v>0</v>
      </c>
      <c r="H175" s="217">
        <v>0</v>
      </c>
      <c r="I175" s="1149">
        <v>7</v>
      </c>
    </row>
    <row r="176" spans="2:10">
      <c r="B176" s="1147" t="s">
        <v>121</v>
      </c>
      <c r="C176" s="217">
        <v>0</v>
      </c>
      <c r="D176" s="217">
        <v>0</v>
      </c>
      <c r="E176" s="217">
        <v>0</v>
      </c>
      <c r="F176" s="217">
        <v>0</v>
      </c>
      <c r="G176" s="217">
        <v>4</v>
      </c>
      <c r="H176" s="217">
        <v>0</v>
      </c>
      <c r="I176" s="1149">
        <v>6</v>
      </c>
    </row>
    <row r="177" spans="2:9">
      <c r="B177" s="1147" t="s">
        <v>247</v>
      </c>
      <c r="C177" s="217">
        <v>3</v>
      </c>
      <c r="D177" s="217">
        <v>0</v>
      </c>
      <c r="E177" s="217">
        <v>0</v>
      </c>
      <c r="F177" s="217">
        <v>0</v>
      </c>
      <c r="G177" s="217">
        <v>3</v>
      </c>
      <c r="H177" s="217">
        <v>0</v>
      </c>
      <c r="I177" s="1149">
        <v>9</v>
      </c>
    </row>
    <row r="178" spans="2:9">
      <c r="B178" s="1147" t="s">
        <v>250</v>
      </c>
      <c r="C178" s="217">
        <v>4</v>
      </c>
      <c r="D178" s="217">
        <v>0</v>
      </c>
      <c r="E178" s="217">
        <v>0</v>
      </c>
      <c r="F178" s="217">
        <v>0</v>
      </c>
      <c r="G178" s="217">
        <v>0</v>
      </c>
      <c r="H178" s="217">
        <v>0</v>
      </c>
      <c r="I178" s="1149">
        <v>3</v>
      </c>
    </row>
    <row r="179" spans="2:9">
      <c r="B179" s="1150" t="s">
        <v>118</v>
      </c>
      <c r="C179" s="1151">
        <v>3</v>
      </c>
      <c r="D179" s="1151">
        <v>0</v>
      </c>
      <c r="E179" s="1151">
        <v>0</v>
      </c>
      <c r="F179" s="1151">
        <v>0</v>
      </c>
      <c r="G179" s="1151">
        <v>0</v>
      </c>
      <c r="H179" s="1151">
        <v>0</v>
      </c>
      <c r="I179" s="1152">
        <v>7</v>
      </c>
    </row>
    <row r="181" spans="2:9" ht="23.25">
      <c r="B181" s="127" t="s">
        <v>794</v>
      </c>
    </row>
    <row r="182" spans="2:9" ht="15.75">
      <c r="B182" s="150" t="s">
        <v>332</v>
      </c>
    </row>
    <row r="183" spans="2:9" ht="25.5">
      <c r="B183" s="173" t="s">
        <v>64</v>
      </c>
      <c r="C183" s="222" t="s">
        <v>37</v>
      </c>
      <c r="D183" s="222" t="s">
        <v>38</v>
      </c>
      <c r="E183" s="222" t="s">
        <v>6</v>
      </c>
      <c r="F183" s="222" t="s">
        <v>1</v>
      </c>
      <c r="G183" s="223" t="s">
        <v>7</v>
      </c>
      <c r="H183" s="222" t="s">
        <v>65</v>
      </c>
      <c r="I183" s="222" t="s">
        <v>8</v>
      </c>
    </row>
    <row r="184" spans="2:9">
      <c r="B184" s="155" t="s">
        <v>149</v>
      </c>
      <c r="C184" s="103">
        <v>118</v>
      </c>
      <c r="D184" s="103">
        <v>79</v>
      </c>
      <c r="E184" s="103">
        <v>191</v>
      </c>
      <c r="F184" s="224">
        <f>(Table7922268119610210811410111415[[#This Row],[Persons]]/$C$15)</f>
        <v>0.41521739130434782</v>
      </c>
      <c r="G184" s="228">
        <v>112</v>
      </c>
      <c r="H184" s="103">
        <f>IFERROR(Table7922268119610210811410111415[[#This Row],[Persons]]-Table7922268119610210811410111415[[#This Row],[2011 Census]],"..")</f>
        <v>79</v>
      </c>
      <c r="I184" s="64">
        <f>IFERROR((Table7922268119610210811410111415[[#This Row],[Persons]]-Table7922268119610210811410111415[[#This Row],[2011 Census]])/Table7922268119610210811410111415[[#This Row],[2011 Census]],"..")</f>
        <v>0.7053571428571429</v>
      </c>
    </row>
    <row r="185" spans="2:9">
      <c r="B185" s="158" t="s">
        <v>150</v>
      </c>
      <c r="C185" s="106">
        <v>22</v>
      </c>
      <c r="D185" s="106">
        <v>40</v>
      </c>
      <c r="E185" s="106">
        <v>65</v>
      </c>
      <c r="F185" s="226">
        <f>(Table7922268119610210811410111415[[#This Row],[Persons]]/$C$15)</f>
        <v>0.14130434782608695</v>
      </c>
      <c r="G185" s="227">
        <v>88</v>
      </c>
      <c r="H185" s="106">
        <f>IFERROR(Table7922268119610210811410111415[[#This Row],[Persons]]-Table7922268119610210811410111415[[#This Row],[2011 Census]],"..")</f>
        <v>-23</v>
      </c>
      <c r="I185" s="54">
        <f>IFERROR((Table7922268119610210811410111415[[#This Row],[Persons]]-Table7922268119610210811410111415[[#This Row],[2011 Census]])/Table7922268119610210811410111415[[#This Row],[2011 Census]],"..")</f>
        <v>-0.26136363636363635</v>
      </c>
    </row>
    <row r="186" spans="2:9">
      <c r="B186" s="155" t="s">
        <v>151</v>
      </c>
      <c r="C186" s="103">
        <v>26</v>
      </c>
      <c r="D186" s="103">
        <v>26</v>
      </c>
      <c r="E186" s="103">
        <v>52</v>
      </c>
      <c r="F186" s="224">
        <f>(Table7922268119610210811410111415[[#This Row],[Persons]]/$C$15)</f>
        <v>0.11304347826086956</v>
      </c>
      <c r="G186" s="228">
        <v>65</v>
      </c>
      <c r="H186" s="103">
        <f>IFERROR(Table7922268119610210811410111415[[#This Row],[Persons]]-Table7922268119610210811410111415[[#This Row],[2011 Census]],"..")</f>
        <v>-13</v>
      </c>
      <c r="I186" s="64">
        <f>IFERROR((Table7922268119610210811410111415[[#This Row],[Persons]]-Table7922268119610210811410111415[[#This Row],[2011 Census]])/Table7922268119610210811410111415[[#This Row],[2011 Census]],"..")</f>
        <v>-0.2</v>
      </c>
    </row>
    <row r="187" spans="2:9">
      <c r="B187" s="158" t="s">
        <v>153</v>
      </c>
      <c r="C187" s="106">
        <v>12</v>
      </c>
      <c r="D187" s="106">
        <v>15</v>
      </c>
      <c r="E187" s="106">
        <v>17</v>
      </c>
      <c r="F187" s="226">
        <f>(Table7922268119610210811410111415[[#This Row],[Persons]]/$C$15)</f>
        <v>3.6956521739130437E-2</v>
      </c>
      <c r="G187" s="227">
        <v>15</v>
      </c>
      <c r="H187" s="106">
        <f>IFERROR(Table7922268119610210811410111415[[#This Row],[Persons]]-Table7922268119610210811410111415[[#This Row],[2011 Census]],"..")</f>
        <v>2</v>
      </c>
      <c r="I187" s="54">
        <f>IFERROR((Table7922268119610210811410111415[[#This Row],[Persons]]-Table7922268119610210811410111415[[#This Row],[2011 Census]])/Table7922268119610210811410111415[[#This Row],[2011 Census]],"..")</f>
        <v>0.13333333333333333</v>
      </c>
    </row>
    <row r="188" spans="2:9">
      <c r="B188" s="155" t="s">
        <v>157</v>
      </c>
      <c r="C188" s="103">
        <v>8</v>
      </c>
      <c r="D188" s="103">
        <v>8</v>
      </c>
      <c r="E188" s="103">
        <v>13</v>
      </c>
      <c r="F188" s="224">
        <f>(Table7922268119610210811410111415[[#This Row],[Persons]]/$C$15)</f>
        <v>2.8260869565217391E-2</v>
      </c>
      <c r="G188" s="228">
        <v>15</v>
      </c>
      <c r="H188" s="103">
        <f>IFERROR(Table7922268119610210811410111415[[#This Row],[Persons]]-Table7922268119610210811410111415[[#This Row],[2011 Census]],"..")</f>
        <v>-2</v>
      </c>
      <c r="I188" s="64">
        <f>IFERROR((Table7922268119610210811410111415[[#This Row],[Persons]]-Table7922268119610210811410111415[[#This Row],[2011 Census]])/Table7922268119610210811410111415[[#This Row],[2011 Census]],"..")</f>
        <v>-0.13333333333333333</v>
      </c>
    </row>
    <row r="189" spans="2:9">
      <c r="B189" s="158" t="s">
        <v>162</v>
      </c>
      <c r="C189" s="106">
        <v>0</v>
      </c>
      <c r="D189" s="106">
        <v>8</v>
      </c>
      <c r="E189" s="106">
        <v>9</v>
      </c>
      <c r="F189" s="226">
        <f>(Table7922268119610210811410111415[[#This Row],[Persons]]/$C$15)</f>
        <v>1.9565217391304349E-2</v>
      </c>
      <c r="G189" s="227">
        <v>0</v>
      </c>
      <c r="H189" s="106">
        <f>IFERROR(Table7922268119610210811410111415[[#This Row],[Persons]]-Table7922268119610210811410111415[[#This Row],[2011 Census]],"..")</f>
        <v>9</v>
      </c>
      <c r="I189" s="54" t="str">
        <f>IFERROR((Table7922268119610210811410111415[[#This Row],[Persons]]-Table7922268119610210811410111415[[#This Row],[2011 Census]])/Table7922268119610210811410111415[[#This Row],[2011 Census]],"..")</f>
        <v>..</v>
      </c>
    </row>
    <row r="190" spans="2:9">
      <c r="B190" s="155" t="s">
        <v>156</v>
      </c>
      <c r="C190" s="103">
        <v>3</v>
      </c>
      <c r="D190" s="103">
        <v>5</v>
      </c>
      <c r="E190" s="103">
        <v>7</v>
      </c>
      <c r="F190" s="224">
        <f>(Table7922268119610210811410111415[[#This Row],[Persons]]/$C$15)</f>
        <v>1.5217391304347827E-2</v>
      </c>
      <c r="G190" s="228">
        <v>0</v>
      </c>
      <c r="H190" s="103">
        <f>IFERROR(Table7922268119610210811410111415[[#This Row],[Persons]]-Table7922268119610210811410111415[[#This Row],[2011 Census]],"..")</f>
        <v>7</v>
      </c>
      <c r="I190" s="64" t="str">
        <f>IFERROR((Table7922268119610210811410111415[[#This Row],[Persons]]-Table7922268119610210811410111415[[#This Row],[2011 Census]])/Table7922268119610210811410111415[[#This Row],[2011 Census]],"..")</f>
        <v>..</v>
      </c>
    </row>
    <row r="191" spans="2:9">
      <c r="B191" s="158" t="s">
        <v>154</v>
      </c>
      <c r="C191" s="106">
        <v>0</v>
      </c>
      <c r="D191" s="106">
        <v>0</v>
      </c>
      <c r="E191" s="106">
        <v>3</v>
      </c>
      <c r="F191" s="226">
        <f>(Table7922268119610210811410111415[[#This Row],[Persons]]/$C$15)</f>
        <v>6.5217391304347823E-3</v>
      </c>
      <c r="G191" s="227">
        <v>0</v>
      </c>
      <c r="H191" s="106">
        <f>IFERROR(Table7922268119610210811410111415[[#This Row],[Persons]]-Table7922268119610210811410111415[[#This Row],[2011 Census]],"..")</f>
        <v>3</v>
      </c>
      <c r="I191" s="54" t="str">
        <f>IFERROR((Table7922268119610210811410111415[[#This Row],[Persons]]-Table7922268119610210811410111415[[#This Row],[2011 Census]])/Table7922268119610210811410111415[[#This Row],[2011 Census]],"..")</f>
        <v>..</v>
      </c>
    </row>
    <row r="192" spans="2:9">
      <c r="B192" s="155" t="s">
        <v>152</v>
      </c>
      <c r="C192" s="103">
        <v>0</v>
      </c>
      <c r="D192" s="103">
        <v>3</v>
      </c>
      <c r="E192" s="103">
        <v>3</v>
      </c>
      <c r="F192" s="224">
        <f>(Table7922268119610210811410111415[[#This Row],[Persons]]/$C$15)</f>
        <v>6.5217391304347823E-3</v>
      </c>
      <c r="G192" s="228">
        <v>12</v>
      </c>
      <c r="H192" s="103">
        <f>IFERROR(Table7922268119610210811410111415[[#This Row],[Persons]]-Table7922268119610210811410111415[[#This Row],[2011 Census]],"..")</f>
        <v>-9</v>
      </c>
      <c r="I192" s="64">
        <f>IFERROR((Table7922268119610210811410111415[[#This Row],[Persons]]-Table7922268119610210811410111415[[#This Row],[2011 Census]])/Table7922268119610210811410111415[[#This Row],[2011 Census]],"..")</f>
        <v>-0.75</v>
      </c>
    </row>
    <row r="193" spans="2:9">
      <c r="B193" s="158"/>
      <c r="C193" s="106"/>
      <c r="D193" s="106"/>
      <c r="E193" s="106"/>
      <c r="F193" s="226"/>
      <c r="G193" s="227"/>
      <c r="H193" s="106"/>
      <c r="I193" s="54"/>
    </row>
    <row r="194" spans="2:9">
      <c r="B194" s="155"/>
      <c r="C194" s="103"/>
      <c r="D194" s="103"/>
      <c r="E194" s="103"/>
      <c r="F194" s="224"/>
      <c r="G194" s="228"/>
      <c r="H194" s="103"/>
      <c r="I194" s="64"/>
    </row>
    <row r="195" spans="2:9">
      <c r="B195" s="158"/>
      <c r="C195" s="106"/>
      <c r="D195" s="106"/>
      <c r="E195" s="106"/>
      <c r="F195" s="226"/>
      <c r="G195" s="227"/>
      <c r="H195" s="106"/>
      <c r="I195" s="54"/>
    </row>
    <row r="196" spans="2:9">
      <c r="B196" s="155"/>
      <c r="C196" s="103"/>
      <c r="D196" s="103"/>
      <c r="E196" s="103"/>
      <c r="F196" s="224"/>
      <c r="G196" s="228"/>
      <c r="H196" s="103"/>
      <c r="I196" s="64"/>
    </row>
    <row r="197" spans="2:9">
      <c r="B197" s="158"/>
      <c r="C197" s="106"/>
      <c r="D197" s="106"/>
      <c r="E197" s="106"/>
      <c r="F197" s="226"/>
      <c r="G197" s="227"/>
      <c r="H197" s="106"/>
      <c r="I197" s="54"/>
    </row>
    <row r="198" spans="2:9">
      <c r="B198" s="158"/>
      <c r="C198" s="106"/>
      <c r="D198" s="106"/>
      <c r="E198" s="106"/>
      <c r="F198" s="226"/>
      <c r="G198" s="227"/>
      <c r="H198" s="106"/>
      <c r="I198" s="54"/>
    </row>
    <row r="199" spans="2:9">
      <c r="B199" s="158"/>
      <c r="C199" s="106"/>
      <c r="D199" s="106"/>
      <c r="E199" s="106"/>
      <c r="F199" s="226"/>
      <c r="G199" s="227"/>
      <c r="H199" s="106"/>
      <c r="I199" s="54"/>
    </row>
    <row r="200" spans="2:9">
      <c r="B200" s="158"/>
      <c r="C200" s="106"/>
      <c r="D200" s="106"/>
      <c r="E200" s="106"/>
      <c r="F200" s="226"/>
      <c r="G200" s="227"/>
      <c r="H200" s="106"/>
      <c r="I200" s="54"/>
    </row>
    <row r="201" spans="2:9">
      <c r="B201" s="158"/>
      <c r="C201" s="106"/>
      <c r="D201" s="106"/>
      <c r="E201" s="106"/>
      <c r="F201" s="226"/>
      <c r="G201" s="227"/>
      <c r="H201" s="106"/>
      <c r="I201" s="54"/>
    </row>
    <row r="202" spans="2:9">
      <c r="B202" s="158"/>
      <c r="C202" s="106"/>
      <c r="D202" s="106"/>
      <c r="E202" s="106"/>
      <c r="F202" s="226"/>
      <c r="G202" s="227"/>
      <c r="H202" s="106"/>
      <c r="I202" s="54"/>
    </row>
    <row r="203" spans="2:9">
      <c r="B203" s="158"/>
      <c r="C203" s="106"/>
      <c r="D203" s="106"/>
      <c r="E203" s="106"/>
      <c r="F203" s="226"/>
      <c r="G203" s="227"/>
      <c r="H203" s="106"/>
      <c r="I203" s="54"/>
    </row>
    <row r="204" spans="2:9">
      <c r="B204" s="155" t="s">
        <v>71</v>
      </c>
      <c r="C204" s="103">
        <v>15</v>
      </c>
      <c r="D204" s="103">
        <v>13</v>
      </c>
      <c r="E204" s="103">
        <v>33</v>
      </c>
      <c r="F204" s="224">
        <f>(Table7922268119610210811410111415[[#This Row],[Persons]]/$C$15)</f>
        <v>7.1739130434782611E-2</v>
      </c>
      <c r="G204" s="228"/>
      <c r="H204" s="103">
        <f>IFERROR(Table7922268119610210811410111415[[#This Row],[Persons]]-Table7922268119610210811410111415[[#This Row],[2011 Census]],"..")</f>
        <v>33</v>
      </c>
      <c r="I204" s="64" t="str">
        <f>IFERROR((Table7922268119610210811410111415[[#This Row],[Persons]]-Table7922268119610210811410111415[[#This Row],[2011 Census]])/Table7922268119610210811410111415[[#This Row],[2011 Census]],"..")</f>
        <v>..</v>
      </c>
    </row>
    <row r="205" spans="2:9">
      <c r="B205" s="158" t="s">
        <v>58</v>
      </c>
      <c r="C205" s="106">
        <v>30</v>
      </c>
      <c r="D205" s="106">
        <v>27</v>
      </c>
      <c r="E205" s="106">
        <v>55</v>
      </c>
      <c r="F205" s="226">
        <f>(Table7922268119610210811410111415[[#This Row],[Persons]]/$C$15)</f>
        <v>0.11956521739130435</v>
      </c>
      <c r="G205" s="227"/>
      <c r="H205" s="106">
        <f>IFERROR(Table7922268119610210811410111415[[#This Row],[Persons]]-Table7922268119610210811410111415[[#This Row],[2011 Census]],"..")</f>
        <v>55</v>
      </c>
      <c r="I205" s="54" t="str">
        <f>IFERROR((Table7922268119610210811410111415[[#This Row],[Persons]]-Table7922268119610210811410111415[[#This Row],[2011 Census]])/Table7922268119610210811410111415[[#This Row],[2011 Census]],"..")</f>
        <v>..</v>
      </c>
    </row>
    <row r="206" spans="2:9" ht="15">
      <c r="B206" s="648" t="s">
        <v>72</v>
      </c>
      <c r="C206" s="1153" t="s">
        <v>290</v>
      </c>
      <c r="D206" s="1153" t="s">
        <v>323</v>
      </c>
      <c r="E206" s="249">
        <f>C15</f>
        <v>460</v>
      </c>
      <c r="F206" s="1154" t="s">
        <v>22</v>
      </c>
      <c r="G206" s="249">
        <f>E15</f>
        <v>368</v>
      </c>
      <c r="H206" s="1153">
        <f>SUM(Table7922268119610210811410111415[[#Totals],[Persons]]-Table7922268119610210811410111415[[#Totals],[2011 Census]])</f>
        <v>92</v>
      </c>
      <c r="I206" s="1154">
        <f>SUM((Table7922268119610210811410111415[[#Totals],[Persons]]-Table7922268119610210811410111415[[#Totals],[2011 Census]])/Table7922268119610210811410111415[[#Totals],[2011 Census]])</f>
        <v>0.25</v>
      </c>
    </row>
    <row r="207" spans="2:9" ht="15">
      <c r="B207" s="232"/>
      <c r="C207" s="232"/>
      <c r="D207" s="232"/>
      <c r="E207" s="232"/>
      <c r="F207" s="232"/>
      <c r="G207" s="232"/>
      <c r="H207" s="232"/>
      <c r="I207" s="232"/>
    </row>
    <row r="208" spans="2:9" ht="23.25">
      <c r="B208" s="127" t="s">
        <v>795</v>
      </c>
    </row>
    <row r="209" spans="2:10" ht="15.75">
      <c r="B209" s="150" t="s">
        <v>827</v>
      </c>
    </row>
    <row r="210" spans="2:10" ht="25.5">
      <c r="B210" s="173" t="s">
        <v>64</v>
      </c>
      <c r="C210" s="222" t="s">
        <v>66</v>
      </c>
      <c r="D210" s="222" t="s">
        <v>67</v>
      </c>
      <c r="E210" s="222" t="s">
        <v>58</v>
      </c>
      <c r="F210" s="233" t="s">
        <v>68</v>
      </c>
      <c r="G210" s="233" t="s">
        <v>24</v>
      </c>
      <c r="H210" s="233" t="s">
        <v>25</v>
      </c>
      <c r="I210" s="233" t="s">
        <v>69</v>
      </c>
      <c r="J210" s="233" t="s">
        <v>27</v>
      </c>
    </row>
    <row r="211" spans="2:10">
      <c r="B211" s="155" t="s">
        <v>149</v>
      </c>
      <c r="C211" s="103">
        <v>162</v>
      </c>
      <c r="D211" s="103">
        <v>25</v>
      </c>
      <c r="E211" s="103">
        <v>3</v>
      </c>
      <c r="F211" s="234">
        <v>38</v>
      </c>
      <c r="G211" s="235">
        <v>17</v>
      </c>
      <c r="H211" s="235">
        <v>48</v>
      </c>
      <c r="I211" s="236">
        <v>65</v>
      </c>
      <c r="J211" s="235">
        <v>23</v>
      </c>
    </row>
    <row r="212" spans="2:10">
      <c r="B212" s="158" t="s">
        <v>150</v>
      </c>
      <c r="C212" s="106">
        <v>41</v>
      </c>
      <c r="D212" s="106">
        <v>21</v>
      </c>
      <c r="E212" s="106">
        <v>3</v>
      </c>
      <c r="F212" s="237">
        <v>4</v>
      </c>
      <c r="G212" s="238">
        <v>3</v>
      </c>
      <c r="H212" s="238">
        <v>12</v>
      </c>
      <c r="I212" s="239">
        <v>30</v>
      </c>
      <c r="J212" s="238">
        <v>12</v>
      </c>
    </row>
    <row r="213" spans="2:10">
      <c r="B213" s="155" t="s">
        <v>151</v>
      </c>
      <c r="C213" s="103">
        <v>49</v>
      </c>
      <c r="D213" s="103">
        <v>11</v>
      </c>
      <c r="E213" s="103">
        <v>0</v>
      </c>
      <c r="F213" s="240">
        <v>3</v>
      </c>
      <c r="G213" s="241">
        <v>3</v>
      </c>
      <c r="H213" s="241">
        <v>9</v>
      </c>
      <c r="I213" s="242">
        <v>22</v>
      </c>
      <c r="J213" s="241">
        <v>20</v>
      </c>
    </row>
    <row r="214" spans="2:10">
      <c r="B214" s="158" t="s">
        <v>153</v>
      </c>
      <c r="C214" s="106">
        <v>20</v>
      </c>
      <c r="D214" s="106">
        <v>5</v>
      </c>
      <c r="E214" s="106">
        <v>0</v>
      </c>
      <c r="F214" s="237">
        <v>0</v>
      </c>
      <c r="G214" s="238">
        <v>0</v>
      </c>
      <c r="H214" s="238">
        <v>4</v>
      </c>
      <c r="I214" s="239">
        <v>11</v>
      </c>
      <c r="J214" s="238">
        <v>7</v>
      </c>
    </row>
    <row r="215" spans="2:10">
      <c r="B215" s="155" t="s">
        <v>157</v>
      </c>
      <c r="C215" s="103">
        <v>12</v>
      </c>
      <c r="D215" s="103">
        <v>6</v>
      </c>
      <c r="E215" s="103">
        <v>0</v>
      </c>
      <c r="F215" s="240">
        <v>0</v>
      </c>
      <c r="G215" s="241">
        <v>0</v>
      </c>
      <c r="H215" s="241">
        <v>0</v>
      </c>
      <c r="I215" s="242">
        <v>11</v>
      </c>
      <c r="J215" s="241">
        <v>5</v>
      </c>
    </row>
    <row r="216" spans="2:10">
      <c r="B216" s="158" t="s">
        <v>162</v>
      </c>
      <c r="C216" s="106">
        <v>9</v>
      </c>
      <c r="D216" s="106">
        <v>0</v>
      </c>
      <c r="E216" s="106">
        <v>0</v>
      </c>
      <c r="F216" s="237">
        <v>0</v>
      </c>
      <c r="G216" s="238">
        <v>0</v>
      </c>
      <c r="H216" s="238">
        <v>0</v>
      </c>
      <c r="I216" s="239">
        <v>0</v>
      </c>
      <c r="J216" s="238">
        <v>0</v>
      </c>
    </row>
    <row r="217" spans="2:10">
      <c r="B217" s="155" t="s">
        <v>156</v>
      </c>
      <c r="C217" s="103">
        <v>4</v>
      </c>
      <c r="D217" s="103">
        <v>5</v>
      </c>
      <c r="E217" s="103">
        <v>0</v>
      </c>
      <c r="F217" s="240">
        <v>0</v>
      </c>
      <c r="G217" s="241">
        <v>0</v>
      </c>
      <c r="H217" s="241">
        <v>3</v>
      </c>
      <c r="I217" s="242">
        <v>10</v>
      </c>
      <c r="J217" s="241">
        <v>0</v>
      </c>
    </row>
    <row r="218" spans="2:10">
      <c r="B218" s="158" t="s">
        <v>154</v>
      </c>
      <c r="C218" s="106">
        <v>0</v>
      </c>
      <c r="D218" s="106">
        <v>0</v>
      </c>
      <c r="E218" s="106">
        <v>0</v>
      </c>
      <c r="F218" s="237">
        <v>0</v>
      </c>
      <c r="G218" s="238">
        <v>0</v>
      </c>
      <c r="H218" s="238">
        <v>0</v>
      </c>
      <c r="I218" s="239">
        <v>3</v>
      </c>
      <c r="J218" s="238">
        <v>0</v>
      </c>
    </row>
    <row r="219" spans="2:10">
      <c r="B219" s="155" t="s">
        <v>152</v>
      </c>
      <c r="C219" s="103">
        <v>0</v>
      </c>
      <c r="D219" s="103">
        <v>0</v>
      </c>
      <c r="E219" s="103">
        <v>0</v>
      </c>
      <c r="F219" s="240">
        <v>0</v>
      </c>
      <c r="G219" s="241">
        <v>0</v>
      </c>
      <c r="H219" s="241">
        <v>0</v>
      </c>
      <c r="I219" s="242">
        <v>3</v>
      </c>
      <c r="J219" s="241">
        <v>0</v>
      </c>
    </row>
    <row r="220" spans="2:10">
      <c r="B220" s="158" t="s">
        <v>168</v>
      </c>
      <c r="C220" s="106">
        <v>0</v>
      </c>
      <c r="D220" s="106">
        <v>0</v>
      </c>
      <c r="E220" s="106">
        <v>0</v>
      </c>
      <c r="F220" s="237">
        <v>0</v>
      </c>
      <c r="G220" s="238">
        <v>0</v>
      </c>
      <c r="H220" s="238">
        <v>0</v>
      </c>
      <c r="I220" s="239">
        <v>0</v>
      </c>
      <c r="J220" s="238">
        <v>0</v>
      </c>
    </row>
    <row r="221" spans="2:10">
      <c r="B221" s="155" t="s">
        <v>159</v>
      </c>
      <c r="C221" s="103">
        <v>0</v>
      </c>
      <c r="D221" s="103">
        <v>0</v>
      </c>
      <c r="E221" s="103">
        <v>0</v>
      </c>
      <c r="F221" s="240">
        <v>0</v>
      </c>
      <c r="G221" s="241">
        <v>0</v>
      </c>
      <c r="H221" s="241">
        <v>0</v>
      </c>
      <c r="I221" s="242">
        <v>0</v>
      </c>
      <c r="J221" s="241">
        <v>0</v>
      </c>
    </row>
    <row r="222" spans="2:10">
      <c r="B222" s="158" t="s">
        <v>166</v>
      </c>
      <c r="C222" s="106">
        <v>0</v>
      </c>
      <c r="D222" s="106">
        <v>0</v>
      </c>
      <c r="E222" s="106">
        <v>0</v>
      </c>
      <c r="F222" s="237">
        <v>0</v>
      </c>
      <c r="G222" s="238">
        <v>0</v>
      </c>
      <c r="H222" s="238">
        <v>0</v>
      </c>
      <c r="I222" s="239">
        <v>0</v>
      </c>
      <c r="J222" s="238">
        <v>0</v>
      </c>
    </row>
    <row r="223" spans="2:10">
      <c r="B223" s="155" t="s">
        <v>167</v>
      </c>
      <c r="C223" s="103">
        <v>0</v>
      </c>
      <c r="D223" s="103">
        <v>0</v>
      </c>
      <c r="E223" s="103">
        <v>0</v>
      </c>
      <c r="F223" s="240">
        <v>0</v>
      </c>
      <c r="G223" s="241">
        <v>0</v>
      </c>
      <c r="H223" s="241">
        <v>0</v>
      </c>
      <c r="I223" s="242">
        <v>0</v>
      </c>
      <c r="J223" s="241">
        <v>0</v>
      </c>
    </row>
    <row r="224" spans="2:10">
      <c r="B224" s="158" t="s">
        <v>163</v>
      </c>
      <c r="C224" s="106">
        <v>0</v>
      </c>
      <c r="D224" s="106">
        <v>0</v>
      </c>
      <c r="E224" s="106">
        <v>0</v>
      </c>
      <c r="F224" s="237">
        <v>0</v>
      </c>
      <c r="G224" s="238">
        <v>0</v>
      </c>
      <c r="H224" s="238">
        <v>0</v>
      </c>
      <c r="I224" s="239">
        <v>0</v>
      </c>
      <c r="J224" s="238">
        <v>0</v>
      </c>
    </row>
    <row r="225" spans="2:11">
      <c r="B225" s="155" t="s">
        <v>155</v>
      </c>
      <c r="C225" s="103">
        <v>0</v>
      </c>
      <c r="D225" s="103">
        <v>0</v>
      </c>
      <c r="E225" s="103">
        <v>0</v>
      </c>
      <c r="F225" s="240">
        <v>0</v>
      </c>
      <c r="G225" s="241">
        <v>0</v>
      </c>
      <c r="H225" s="241">
        <v>0</v>
      </c>
      <c r="I225" s="242">
        <v>0</v>
      </c>
      <c r="J225" s="241">
        <v>0</v>
      </c>
    </row>
    <row r="226" spans="2:11">
      <c r="B226" s="158" t="s">
        <v>158</v>
      </c>
      <c r="C226" s="106">
        <v>0</v>
      </c>
      <c r="D226" s="106">
        <v>0</v>
      </c>
      <c r="E226" s="106">
        <v>0</v>
      </c>
      <c r="F226" s="237">
        <v>0</v>
      </c>
      <c r="G226" s="238">
        <v>0</v>
      </c>
      <c r="H226" s="238">
        <v>0</v>
      </c>
      <c r="I226" s="239">
        <v>0</v>
      </c>
      <c r="J226" s="238">
        <v>0</v>
      </c>
    </row>
    <row r="227" spans="2:11">
      <c r="B227" s="155" t="s">
        <v>164</v>
      </c>
      <c r="C227" s="103">
        <v>0</v>
      </c>
      <c r="D227" s="103">
        <v>0</v>
      </c>
      <c r="E227" s="103">
        <v>0</v>
      </c>
      <c r="F227" s="240">
        <v>0</v>
      </c>
      <c r="G227" s="241">
        <v>0</v>
      </c>
      <c r="H227" s="241">
        <v>0</v>
      </c>
      <c r="I227" s="242">
        <v>0</v>
      </c>
      <c r="J227" s="241">
        <v>0</v>
      </c>
    </row>
    <row r="228" spans="2:11">
      <c r="B228" s="158" t="s">
        <v>160</v>
      </c>
      <c r="C228" s="106">
        <v>0</v>
      </c>
      <c r="D228" s="106">
        <v>0</v>
      </c>
      <c r="E228" s="106">
        <v>0</v>
      </c>
      <c r="F228" s="237">
        <v>0</v>
      </c>
      <c r="G228" s="238">
        <v>0</v>
      </c>
      <c r="H228" s="238">
        <v>0</v>
      </c>
      <c r="I228" s="239">
        <v>0</v>
      </c>
      <c r="J228" s="238">
        <v>0</v>
      </c>
    </row>
    <row r="229" spans="2:11">
      <c r="B229" s="155" t="s">
        <v>165</v>
      </c>
      <c r="C229" s="103">
        <v>0</v>
      </c>
      <c r="D229" s="103">
        <v>0</v>
      </c>
      <c r="E229" s="103">
        <v>0</v>
      </c>
      <c r="F229" s="240">
        <v>0</v>
      </c>
      <c r="G229" s="241">
        <v>0</v>
      </c>
      <c r="H229" s="241">
        <v>0</v>
      </c>
      <c r="I229" s="242">
        <v>0</v>
      </c>
      <c r="J229" s="241">
        <v>0</v>
      </c>
    </row>
    <row r="230" spans="2:11">
      <c r="B230" s="158" t="s">
        <v>161</v>
      </c>
      <c r="C230" s="106">
        <v>0</v>
      </c>
      <c r="D230" s="106">
        <v>0</v>
      </c>
      <c r="E230" s="106">
        <v>0</v>
      </c>
      <c r="F230" s="237">
        <v>0</v>
      </c>
      <c r="G230" s="238">
        <v>0</v>
      </c>
      <c r="H230" s="238">
        <v>0</v>
      </c>
      <c r="I230" s="239">
        <v>0</v>
      </c>
      <c r="J230" s="238">
        <v>0</v>
      </c>
    </row>
    <row r="231" spans="2:11">
      <c r="B231" s="158" t="s">
        <v>71</v>
      </c>
      <c r="C231" s="106">
        <v>29</v>
      </c>
      <c r="D231" s="106">
        <v>0</v>
      </c>
      <c r="E231" s="106">
        <v>0</v>
      </c>
      <c r="F231" s="237">
        <v>7</v>
      </c>
      <c r="G231" s="238">
        <v>0</v>
      </c>
      <c r="H231" s="238">
        <v>13</v>
      </c>
      <c r="I231" s="239">
        <v>8</v>
      </c>
      <c r="J231" s="238">
        <v>5</v>
      </c>
    </row>
    <row r="232" spans="2:11">
      <c r="B232" s="158" t="s">
        <v>58</v>
      </c>
      <c r="C232" s="106">
        <v>18</v>
      </c>
      <c r="D232" s="106">
        <v>13</v>
      </c>
      <c r="E232" s="106">
        <v>21</v>
      </c>
      <c r="F232" s="237">
        <v>8</v>
      </c>
      <c r="G232" s="238">
        <v>3</v>
      </c>
      <c r="H232" s="238">
        <v>9</v>
      </c>
      <c r="I232" s="239">
        <v>26</v>
      </c>
      <c r="J232" s="238">
        <v>8</v>
      </c>
    </row>
    <row r="233" spans="2:11">
      <c r="B233" s="1155" t="s">
        <v>72</v>
      </c>
      <c r="C233" s="1156">
        <f>C16</f>
        <v>351</v>
      </c>
      <c r="D233" s="1156">
        <f>C17</f>
        <v>81</v>
      </c>
      <c r="E233" s="1156">
        <f>C18</f>
        <v>25</v>
      </c>
      <c r="F233" s="1157" t="s">
        <v>251</v>
      </c>
      <c r="G233" s="1158" t="s">
        <v>252</v>
      </c>
      <c r="H233" s="1158" t="s">
        <v>253</v>
      </c>
      <c r="I233" s="1158" t="s">
        <v>254</v>
      </c>
      <c r="J233" s="1123" t="s">
        <v>255</v>
      </c>
    </row>
    <row r="234" spans="2:11">
      <c r="J234" s="180"/>
    </row>
    <row r="236" spans="2:11" ht="15.75">
      <c r="K236" s="285" t="s">
        <v>642</v>
      </c>
    </row>
    <row r="237" spans="2:11" ht="15.75">
      <c r="B237" s="499" t="s">
        <v>857</v>
      </c>
      <c r="C237" s="500"/>
      <c r="D237" s="500"/>
      <c r="E237" s="500"/>
      <c r="F237" s="500"/>
      <c r="G237" s="500"/>
      <c r="H237" s="500"/>
      <c r="I237" s="500"/>
      <c r="J237" s="501"/>
    </row>
    <row r="238" spans="2:11" ht="15.75">
      <c r="B238" s="502" t="s">
        <v>424</v>
      </c>
      <c r="C238" s="503"/>
      <c r="D238" s="503"/>
      <c r="E238" s="503"/>
      <c r="F238" s="503"/>
      <c r="G238" s="503"/>
      <c r="H238" s="503"/>
      <c r="I238" s="503"/>
      <c r="J238" s="504"/>
    </row>
    <row r="239" spans="2:11" ht="15.75">
      <c r="B239" s="505" t="s">
        <v>824</v>
      </c>
      <c r="C239" s="506"/>
      <c r="D239" s="506"/>
      <c r="E239" s="506"/>
      <c r="F239" s="506"/>
      <c r="G239" s="506"/>
      <c r="H239" s="506"/>
      <c r="I239" s="506"/>
      <c r="J239" s="507"/>
    </row>
  </sheetData>
  <sheetProtection password="C6DE" sheet="1" objects="1" scenarios="1"/>
  <mergeCells count="15">
    <mergeCell ref="J1:K1"/>
    <mergeCell ref="I30:J30"/>
    <mergeCell ref="I31:J31"/>
    <mergeCell ref="I32:J32"/>
    <mergeCell ref="I33:J33"/>
    <mergeCell ref="I34:J34"/>
    <mergeCell ref="I40:J40"/>
    <mergeCell ref="C168:F168"/>
    <mergeCell ref="I41:J41"/>
    <mergeCell ref="I42:J42"/>
    <mergeCell ref="I35:J35"/>
    <mergeCell ref="I36:J36"/>
    <mergeCell ref="I37:J37"/>
    <mergeCell ref="I38:J38"/>
    <mergeCell ref="I39:J39"/>
  </mergeCells>
  <hyperlinks>
    <hyperlink ref="J1:K1" location="'Index '!A1" display="Back to Index"/>
    <hyperlink ref="K236" location="'3.16 Wagait'!K1" display="Back to top"/>
  </hyperlinks>
  <pageMargins left="0.35433070866141736" right="3.937007874015748E-2" top="0.51181102362204722" bottom="0.35433070866141736" header="0.11811023622047245" footer="0.11811023622047245"/>
  <pageSetup paperSize="9" scale="56" fitToHeight="10" orientation="portrait" horizontalDpi="300" verticalDpi="300" r:id="rId1"/>
  <headerFooter differentFirst="1" alignWithMargins="0">
    <oddHeader>&amp;L&amp;"Helvetica Bold,Bold"&amp;18&amp;K000000X LGA (Continued)</oddHeader>
  </headerFooter>
  <ignoredErrors>
    <ignoredError sqref="H31:H40 H41" calculatedColumn="1"/>
  </ignoredErrors>
  <drawing r:id="rId2"/>
  <tableParts count="6">
    <tablePart r:id="rId3"/>
    <tablePart r:id="rId4"/>
    <tablePart r:id="rId5"/>
    <tablePart r:id="rId6"/>
    <tablePart r:id="rId7"/>
    <tablePart r:id="rId8"/>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239"/>
  <sheetViews>
    <sheetView showGridLines="0" zoomScaleNormal="100" zoomScaleSheetLayoutView="120" zoomScalePageLayoutView="75" workbookViewId="0">
      <selection activeCell="J1" sqref="J1:K1"/>
    </sheetView>
  </sheetViews>
  <sheetFormatPr defaultColWidth="15.625" defaultRowHeight="12.75"/>
  <cols>
    <col min="1" max="1" width="5.875" style="149" customWidth="1"/>
    <col min="2" max="2" width="40.875" style="149" customWidth="1"/>
    <col min="3" max="11" width="10.875" style="149" customWidth="1"/>
    <col min="12" max="14" width="15.625" style="149" customWidth="1"/>
    <col min="15" max="18" width="15.625" style="149"/>
    <col min="19" max="28" width="15.625" style="149" customWidth="1"/>
    <col min="29" max="16384" width="15.625" style="149"/>
  </cols>
  <sheetData>
    <row r="1" spans="2:11" ht="15.75">
      <c r="B1" s="1159">
        <f>'3.17 West Arnhem'!F107</f>
        <v>0.44444444444444442</v>
      </c>
      <c r="C1" s="122"/>
      <c r="D1" s="122"/>
      <c r="E1" s="122"/>
      <c r="J1" s="1229" t="s">
        <v>359</v>
      </c>
      <c r="K1" s="1229"/>
    </row>
    <row r="2" spans="2:11" ht="30">
      <c r="B2" s="333" t="s">
        <v>916</v>
      </c>
      <c r="C2" s="120"/>
      <c r="D2" s="120"/>
      <c r="E2" s="120"/>
      <c r="F2" s="120"/>
      <c r="G2" s="650"/>
      <c r="H2" s="650"/>
      <c r="I2" s="650"/>
      <c r="J2" s="650"/>
      <c r="K2" s="650"/>
    </row>
    <row r="3" spans="2:11">
      <c r="B3" s="122"/>
      <c r="C3" s="122"/>
      <c r="D3" s="122"/>
      <c r="E3" s="122"/>
      <c r="F3" s="122"/>
    </row>
    <row r="4" spans="2:11">
      <c r="B4" s="122"/>
      <c r="C4" s="122"/>
      <c r="D4" s="122"/>
      <c r="E4" s="122"/>
      <c r="F4" s="122"/>
    </row>
    <row r="5" spans="2:11">
      <c r="B5" s="123"/>
      <c r="C5" s="123"/>
      <c r="D5" s="123"/>
      <c r="E5" s="122"/>
      <c r="F5" s="122"/>
    </row>
    <row r="6" spans="2:11" ht="15.75">
      <c r="B6" s="124" t="s">
        <v>0</v>
      </c>
      <c r="C6" s="53" t="s">
        <v>1</v>
      </c>
      <c r="D6" s="123"/>
      <c r="E6" s="122"/>
      <c r="F6" s="122"/>
    </row>
    <row r="7" spans="2:11" ht="15.75">
      <c r="B7" s="126" t="s">
        <v>2</v>
      </c>
      <c r="C7" s="53">
        <f>D16</f>
        <v>0.88452842377260987</v>
      </c>
      <c r="D7" s="123"/>
      <c r="E7" s="122"/>
      <c r="F7" s="122"/>
    </row>
    <row r="8" spans="2:11" ht="15.75">
      <c r="B8" s="126" t="s">
        <v>3</v>
      </c>
      <c r="C8" s="53">
        <f>D18</f>
        <v>7.4773901808785528E-2</v>
      </c>
      <c r="D8" s="123"/>
      <c r="E8" s="122"/>
      <c r="F8" s="122"/>
    </row>
    <row r="9" spans="2:11" ht="15.75">
      <c r="B9" s="126" t="s">
        <v>4</v>
      </c>
      <c r="C9" s="53">
        <f>D19</f>
        <v>1.5019379844961241E-2</v>
      </c>
      <c r="D9" s="123"/>
      <c r="E9" s="122"/>
      <c r="F9" s="122"/>
    </row>
    <row r="10" spans="2:11" ht="15.75">
      <c r="B10" s="126" t="s">
        <v>5</v>
      </c>
      <c r="C10" s="53">
        <f>D20</f>
        <v>2.5678294573643411E-2</v>
      </c>
      <c r="D10" s="123"/>
      <c r="E10" s="122"/>
      <c r="F10" s="122"/>
    </row>
    <row r="11" spans="2:11" ht="15.75">
      <c r="B11" s="126"/>
      <c r="C11" s="53"/>
      <c r="D11" s="123"/>
      <c r="E11" s="122"/>
      <c r="F11" s="122"/>
    </row>
    <row r="12" spans="2:11" ht="23.25">
      <c r="B12" s="127" t="s">
        <v>796</v>
      </c>
    </row>
    <row r="13" spans="2:11">
      <c r="J13" s="128"/>
      <c r="K13" s="128"/>
    </row>
    <row r="14" spans="2:11" s="128" customFormat="1" ht="25.5">
      <c r="B14" s="252" t="s">
        <v>0</v>
      </c>
      <c r="C14" s="233" t="s">
        <v>6</v>
      </c>
      <c r="D14" s="233" t="s">
        <v>1</v>
      </c>
      <c r="E14" s="233" t="s">
        <v>7</v>
      </c>
      <c r="F14" s="233" t="s">
        <v>65</v>
      </c>
      <c r="G14" s="233" t="s">
        <v>8</v>
      </c>
      <c r="J14" s="129"/>
      <c r="K14" s="129"/>
    </row>
    <row r="15" spans="2:11" s="129" customFormat="1">
      <c r="B15" s="262" t="s">
        <v>9</v>
      </c>
      <c r="C15" s="55">
        <v>6192</v>
      </c>
      <c r="D15" s="54">
        <f t="shared" ref="D15:D25" si="0">(C15/$C$15)</f>
        <v>1</v>
      </c>
      <c r="E15" s="55">
        <v>6231</v>
      </c>
      <c r="F15" s="55">
        <f>(Table4791113157212579399117129135[[#This Row],[Persons]]-Table4791113157212579399117129135[[#This Row],[2011 Census]])</f>
        <v>-39</v>
      </c>
      <c r="G15" s="54">
        <f>(Table4791113157212579399117129135[[#This Row],[Change 2011-2016]]/Table4791113157212579399117129135[[#This Row],[2011 Census]])</f>
        <v>-6.2590274434280212E-3</v>
      </c>
    </row>
    <row r="16" spans="2:11" s="129" customFormat="1">
      <c r="B16" s="262" t="s">
        <v>2</v>
      </c>
      <c r="C16" s="55">
        <v>5477</v>
      </c>
      <c r="D16" s="54">
        <f t="shared" si="0"/>
        <v>0.88452842377260987</v>
      </c>
      <c r="E16" s="55">
        <v>5768</v>
      </c>
      <c r="F16" s="55">
        <f>(Table4791113157212579399117129135[[#This Row],[Persons]]-Table4791113157212579399117129135[[#This Row],[2011 Census]])</f>
        <v>-291</v>
      </c>
      <c r="G16" s="54">
        <f>(Table4791113157212579399117129135[[#This Row],[Change 2011-2016]]/Table4791113157212579399117129135[[#This Row],[2011 Census]])</f>
        <v>-5.0450762829403605E-2</v>
      </c>
    </row>
    <row r="17" spans="2:8" s="129" customFormat="1">
      <c r="B17" s="262" t="s">
        <v>362</v>
      </c>
      <c r="C17" s="55">
        <v>246</v>
      </c>
      <c r="D17" s="54">
        <f t="shared" si="0"/>
        <v>3.9728682170542637E-2</v>
      </c>
      <c r="E17" s="512">
        <v>244</v>
      </c>
      <c r="F17" s="55">
        <f>(Table4791113157212579399117129135[[#This Row],[Persons]]-Table4791113157212579399117129135[[#This Row],[2011 Census]])</f>
        <v>2</v>
      </c>
      <c r="G17" s="54">
        <f>(Table4791113157212579399117129135[[#This Row],[Change 2011-2016]]/Table4791113157212579399117129135[[#This Row],[2011 Census]])</f>
        <v>8.1967213114754103E-3</v>
      </c>
    </row>
    <row r="18" spans="2:8" s="129" customFormat="1">
      <c r="B18" s="262" t="s">
        <v>3</v>
      </c>
      <c r="C18" s="55">
        <v>463</v>
      </c>
      <c r="D18" s="54">
        <f t="shared" si="0"/>
        <v>7.4773901808785528E-2</v>
      </c>
      <c r="E18" s="512">
        <v>219</v>
      </c>
      <c r="F18" s="55">
        <f>(Table4791113157212579399117129135[[#This Row],[Persons]]-Table4791113157212579399117129135[[#This Row],[2011 Census]])</f>
        <v>244</v>
      </c>
      <c r="G18" s="54">
        <f>(Table4791113157212579399117129135[[#This Row],[Change 2011-2016]]/Table4791113157212579399117129135[[#This Row],[2011 Census]])</f>
        <v>1.1141552511415524</v>
      </c>
    </row>
    <row r="19" spans="2:8" s="129" customFormat="1">
      <c r="B19" s="262" t="s">
        <v>4</v>
      </c>
      <c r="C19" s="55">
        <v>93</v>
      </c>
      <c r="D19" s="54">
        <f t="shared" si="0"/>
        <v>1.5019379844961241E-2</v>
      </c>
      <c r="E19" s="512">
        <v>101</v>
      </c>
      <c r="F19" s="55">
        <f>(Table4791113157212579399117129135[[#This Row],[Persons]]-Table4791113157212579399117129135[[#This Row],[2011 Census]])</f>
        <v>-8</v>
      </c>
      <c r="G19" s="54">
        <f>(Table4791113157212579399117129135[[#This Row],[Change 2011-2016]]/Table4791113157212579399117129135[[#This Row],[2011 Census]])</f>
        <v>-7.9207920792079209E-2</v>
      </c>
    </row>
    <row r="20" spans="2:8" s="129" customFormat="1">
      <c r="B20" s="262" t="s">
        <v>5</v>
      </c>
      <c r="C20" s="55">
        <v>159</v>
      </c>
      <c r="D20" s="54">
        <f t="shared" si="0"/>
        <v>2.5678294573643411E-2</v>
      </c>
      <c r="E20" s="512">
        <v>143</v>
      </c>
      <c r="F20" s="55">
        <f>(Table4791113157212579399117129135[[#This Row],[Persons]]-Table4791113157212579399117129135[[#This Row],[2011 Census]])</f>
        <v>16</v>
      </c>
      <c r="G20" s="54">
        <f>(Table4791113157212579399117129135[[#This Row],[Change 2011-2016]]/Table4791113157212579399117129135[[#This Row],[2011 Census]])</f>
        <v>0.11188811188811189</v>
      </c>
    </row>
    <row r="21" spans="2:8" s="129" customFormat="1">
      <c r="B21" s="262" t="s">
        <v>11</v>
      </c>
      <c r="C21" s="55">
        <v>86</v>
      </c>
      <c r="D21" s="54">
        <f t="shared" si="0"/>
        <v>1.3888888888888888E-2</v>
      </c>
      <c r="E21" s="512">
        <v>84</v>
      </c>
      <c r="F21" s="55">
        <f>(Table4791113157212579399117129135[[#This Row],[Persons]]-Table4791113157212579399117129135[[#This Row],[2011 Census]])</f>
        <v>2</v>
      </c>
      <c r="G21" s="54">
        <f>(Table4791113157212579399117129135[[#This Row],[Change 2011-2016]]/Table4791113157212579399117129135[[#This Row],[2011 Census]])</f>
        <v>2.3809523809523808E-2</v>
      </c>
    </row>
    <row r="22" spans="2:8" s="129" customFormat="1">
      <c r="B22" s="262" t="s">
        <v>12</v>
      </c>
      <c r="C22" s="55">
        <v>4790</v>
      </c>
      <c r="D22" s="54">
        <f t="shared" si="0"/>
        <v>0.77357881136950901</v>
      </c>
      <c r="E22" s="512">
        <v>4695</v>
      </c>
      <c r="F22" s="55">
        <f>(Table4791113157212579399117129135[[#This Row],[Persons]]-Table4791113157212579399117129135[[#This Row],[2011 Census]])</f>
        <v>95</v>
      </c>
      <c r="G22" s="54">
        <f>(Table4791113157212579399117129135[[#This Row],[Change 2011-2016]]/Table4791113157212579399117129135[[#This Row],[2011 Census]])</f>
        <v>2.0234291799787009E-2</v>
      </c>
    </row>
    <row r="23" spans="2:8" s="129" customFormat="1">
      <c r="B23" s="262" t="s">
        <v>13</v>
      </c>
      <c r="C23" s="55">
        <v>4259</v>
      </c>
      <c r="D23" s="54">
        <f t="shared" si="0"/>
        <v>0.68782299741602071</v>
      </c>
      <c r="E23" s="512">
        <v>4449</v>
      </c>
      <c r="F23" s="55">
        <f>(Table4791113157212579399117129135[[#This Row],[Persons]]-Table4791113157212579399117129135[[#This Row],[2011 Census]])</f>
        <v>-190</v>
      </c>
      <c r="G23" s="54">
        <f>(Table4791113157212579399117129135[[#This Row],[Change 2011-2016]]/Table4791113157212579399117129135[[#This Row],[2011 Census]])</f>
        <v>-4.2706226118228816E-2</v>
      </c>
    </row>
    <row r="24" spans="2:8" s="129" customFormat="1">
      <c r="B24" s="262" t="s">
        <v>869</v>
      </c>
      <c r="C24" s="55">
        <v>87</v>
      </c>
      <c r="D24" s="54">
        <f t="shared" si="0"/>
        <v>1.4050387596899225E-2</v>
      </c>
      <c r="E24" s="512">
        <v>83</v>
      </c>
      <c r="F24" s="55">
        <f>(Table4791113157212579399117129135[[#This Row],[Persons]]-Table4791113157212579399117129135[[#This Row],[2011 Census]])</f>
        <v>4</v>
      </c>
      <c r="G24" s="54">
        <f>(Table4791113157212579399117129135[[#This Row],[Change 2011-2016]]/Table4791113157212579399117129135[[#This Row],[2011 Census]])</f>
        <v>4.8192771084337352E-2</v>
      </c>
    </row>
    <row r="25" spans="2:8" s="129" customFormat="1" ht="15" customHeight="1">
      <c r="B25" s="262" t="s">
        <v>870</v>
      </c>
      <c r="C25" s="55">
        <v>65</v>
      </c>
      <c r="D25" s="54">
        <f t="shared" si="0"/>
        <v>1.0497416020671835E-2</v>
      </c>
      <c r="E25" s="512">
        <v>51</v>
      </c>
      <c r="F25" s="55">
        <f>(Table4791113157212579399117129135[[#This Row],[Persons]]-Table4791113157212579399117129135[[#This Row],[2011 Census]])</f>
        <v>14</v>
      </c>
      <c r="G25" s="54">
        <f>(Table4791113157212579399117129135[[#This Row],[Change 2011-2016]]/Table4791113157212579399117129135[[#This Row],[2011 Census]])</f>
        <v>0.27450980392156865</v>
      </c>
    </row>
    <row r="26" spans="2:8" s="329" customFormat="1">
      <c r="B26" s="349" t="s">
        <v>366</v>
      </c>
    </row>
    <row r="27" spans="2:8" s="329" customFormat="1">
      <c r="B27" s="349"/>
    </row>
    <row r="28" spans="2:8" s="329" customFormat="1" ht="23.25">
      <c r="B28" s="127" t="s">
        <v>797</v>
      </c>
      <c r="D28" s="513"/>
      <c r="E28" s="514"/>
      <c r="F28" s="514"/>
      <c r="G28" s="514"/>
    </row>
    <row r="29" spans="2:8" s="329" customFormat="1" ht="15.75">
      <c r="B29" s="133" t="s">
        <v>333</v>
      </c>
    </row>
    <row r="30" spans="2:8" s="128" customFormat="1" ht="25.5">
      <c r="B30" s="252" t="s">
        <v>14</v>
      </c>
      <c r="C30" s="252" t="s">
        <v>15</v>
      </c>
      <c r="D30" s="252" t="s">
        <v>16</v>
      </c>
      <c r="E30" s="252" t="s">
        <v>17</v>
      </c>
      <c r="F30" s="252" t="s">
        <v>18</v>
      </c>
      <c r="G30" s="252" t="s">
        <v>19</v>
      </c>
      <c r="H30" s="252" t="s">
        <v>20</v>
      </c>
    </row>
    <row r="31" spans="2:8" s="129" customFormat="1">
      <c r="B31" s="1160" t="s">
        <v>73</v>
      </c>
      <c r="C31" s="254">
        <v>22</v>
      </c>
      <c r="D31" s="254">
        <v>18</v>
      </c>
      <c r="E31" s="254">
        <v>43</v>
      </c>
      <c r="F31" s="59">
        <f>(Table55202469298116128134[[#This Row],[Persons 2016]]/$C$17)</f>
        <v>0.17479674796747968</v>
      </c>
      <c r="G31" s="582">
        <v>43</v>
      </c>
      <c r="H31" s="59">
        <f>IFERROR((Table55202469298116128134[[#This Row],[Persons 2016]]-Table55202469298116128134[[#This Row],[Persons 2011]])/Table55202469298116128134[[#This Row],[Persons 2011]],"..")</f>
        <v>0</v>
      </c>
    </row>
    <row r="32" spans="2:8" s="129" customFormat="1">
      <c r="B32" s="1160" t="s">
        <v>92</v>
      </c>
      <c r="C32" s="254">
        <v>8</v>
      </c>
      <c r="D32" s="254">
        <v>16</v>
      </c>
      <c r="E32" s="254">
        <v>28</v>
      </c>
      <c r="F32" s="59">
        <f>(Table55202469298116128134[[#This Row],[Persons 2016]]/$C$17)</f>
        <v>0.11382113821138211</v>
      </c>
      <c r="G32" s="582">
        <v>28</v>
      </c>
      <c r="H32" s="59">
        <f>IFERROR((Table55202469298116128134[[#This Row],[Persons 2016]]-Table55202469298116128134[[#This Row],[Persons 2011]])/Table55202469298116128134[[#This Row],[Persons 2011]],"..")</f>
        <v>0</v>
      </c>
    </row>
    <row r="33" spans="2:10" s="129" customFormat="1">
      <c r="B33" s="1160" t="s">
        <v>79</v>
      </c>
      <c r="C33" s="254">
        <v>6</v>
      </c>
      <c r="D33" s="254">
        <v>8</v>
      </c>
      <c r="E33" s="254">
        <v>18</v>
      </c>
      <c r="F33" s="59">
        <f>(Table55202469298116128134[[#This Row],[Persons 2016]]/$C$17)</f>
        <v>7.3170731707317069E-2</v>
      </c>
      <c r="G33" s="582">
        <v>7</v>
      </c>
      <c r="H33" s="59">
        <f>IFERROR((Table55202469298116128134[[#This Row],[Persons 2016]]-Table55202469298116128134[[#This Row],[Persons 2011]])/Table55202469298116128134[[#This Row],[Persons 2011]],"..")</f>
        <v>1.5714285714285714</v>
      </c>
    </row>
    <row r="34" spans="2:10" s="129" customFormat="1">
      <c r="B34" s="1160" t="s">
        <v>130</v>
      </c>
      <c r="C34" s="254">
        <v>8</v>
      </c>
      <c r="D34" s="254">
        <v>9</v>
      </c>
      <c r="E34" s="254">
        <v>17</v>
      </c>
      <c r="F34" s="59">
        <f>(Table55202469298116128134[[#This Row],[Persons 2016]]/$C$17)</f>
        <v>6.910569105691057E-2</v>
      </c>
      <c r="G34" s="582">
        <v>22</v>
      </c>
      <c r="H34" s="59">
        <f>IFERROR((Table55202469298116128134[[#This Row],[Persons 2016]]-Table55202469298116128134[[#This Row],[Persons 2011]])/Table55202469298116128134[[#This Row],[Persons 2011]],"..")</f>
        <v>-0.22727272727272727</v>
      </c>
    </row>
    <row r="35" spans="2:10" s="129" customFormat="1">
      <c r="B35" s="1160" t="s">
        <v>76</v>
      </c>
      <c r="C35" s="254">
        <v>4</v>
      </c>
      <c r="D35" s="254">
        <v>9</v>
      </c>
      <c r="E35" s="254">
        <v>16</v>
      </c>
      <c r="F35" s="59">
        <f>(Table55202469298116128134[[#This Row],[Persons 2016]]/$C$17)</f>
        <v>6.5040650406504072E-2</v>
      </c>
      <c r="G35" s="582">
        <v>18</v>
      </c>
      <c r="H35" s="59">
        <f>IFERROR((Table55202469298116128134[[#This Row],[Persons 2016]]-Table55202469298116128134[[#This Row],[Persons 2011]])/Table55202469298116128134[[#This Row],[Persons 2011]],"..")</f>
        <v>-0.1111111111111111</v>
      </c>
    </row>
    <row r="36" spans="2:10" s="129" customFormat="1">
      <c r="B36" s="1160" t="s">
        <v>86</v>
      </c>
      <c r="C36" s="254">
        <v>3</v>
      </c>
      <c r="D36" s="254">
        <v>10</v>
      </c>
      <c r="E36" s="254">
        <v>9</v>
      </c>
      <c r="F36" s="59">
        <f>(Table55202469298116128134[[#This Row],[Persons 2016]]/$C$17)</f>
        <v>3.6585365853658534E-2</v>
      </c>
      <c r="G36" s="582">
        <v>5</v>
      </c>
      <c r="H36" s="59">
        <f>IFERROR((Table55202469298116128134[[#This Row],[Persons 2016]]-Table55202469298116128134[[#This Row],[Persons 2011]])/Table55202469298116128134[[#This Row],[Persons 2011]],"..")</f>
        <v>0.8</v>
      </c>
    </row>
    <row r="37" spans="2:10" s="129" customFormat="1">
      <c r="B37" s="1160" t="s">
        <v>134</v>
      </c>
      <c r="C37" s="254">
        <v>5</v>
      </c>
      <c r="D37" s="254">
        <v>0</v>
      </c>
      <c r="E37" s="254">
        <v>8</v>
      </c>
      <c r="F37" s="59">
        <f>(Table55202469298116128134[[#This Row],[Persons 2016]]/$C$17)</f>
        <v>3.2520325203252036E-2</v>
      </c>
      <c r="G37" s="582">
        <v>8</v>
      </c>
      <c r="H37" s="59">
        <f>IFERROR((Table55202469298116128134[[#This Row],[Persons 2016]]-Table55202469298116128134[[#This Row],[Persons 2011]])/Table55202469298116128134[[#This Row],[Persons 2011]],"..")</f>
        <v>0</v>
      </c>
    </row>
    <row r="38" spans="2:10" s="129" customFormat="1">
      <c r="B38" s="1160" t="s">
        <v>129</v>
      </c>
      <c r="C38" s="254">
        <v>7</v>
      </c>
      <c r="D38" s="254">
        <v>4</v>
      </c>
      <c r="E38" s="254">
        <v>7</v>
      </c>
      <c r="F38" s="59">
        <f>(Table55202469298116128134[[#This Row],[Persons 2016]]/$C$17)</f>
        <v>2.8455284552845527E-2</v>
      </c>
      <c r="G38" s="582">
        <v>4</v>
      </c>
      <c r="H38" s="59">
        <f>IFERROR((Table55202469298116128134[[#This Row],[Persons 2016]]-Table55202469298116128134[[#This Row],[Persons 2011]])/Table55202469298116128134[[#This Row],[Persons 2011]],"..")</f>
        <v>0.75</v>
      </c>
    </row>
    <row r="39" spans="2:10" s="118" customFormat="1">
      <c r="B39" s="1160" t="s">
        <v>135</v>
      </c>
      <c r="C39" s="254">
        <v>0</v>
      </c>
      <c r="D39" s="254">
        <v>0</v>
      </c>
      <c r="E39" s="254">
        <v>6</v>
      </c>
      <c r="F39" s="59">
        <f>(Table55202469298116128134[[#This Row],[Persons 2016]]/$C$17)</f>
        <v>2.4390243902439025E-2</v>
      </c>
      <c r="G39" s="582">
        <v>13</v>
      </c>
      <c r="H39" s="59">
        <f>IFERROR((Table55202469298116128134[[#This Row],[Persons 2016]]-Table55202469298116128134[[#This Row],[Persons 2011]])/Table55202469298116128134[[#This Row],[Persons 2011]],"..")</f>
        <v>-0.53846153846153844</v>
      </c>
      <c r="I39" s="134"/>
      <c r="J39" s="134"/>
    </row>
    <row r="40" spans="2:10" s="118" customFormat="1">
      <c r="B40" s="1160" t="s">
        <v>91</v>
      </c>
      <c r="C40" s="254">
        <v>0</v>
      </c>
      <c r="D40" s="254">
        <v>6</v>
      </c>
      <c r="E40" s="254">
        <v>6</v>
      </c>
      <c r="F40" s="59">
        <f>(Table55202469298116128134[[#This Row],[Persons 2016]]/$C$17)</f>
        <v>2.4390243902439025E-2</v>
      </c>
      <c r="G40" s="582">
        <v>0</v>
      </c>
      <c r="H40" s="59" t="str">
        <f>IFERROR((Table55202469298116128134[[#This Row],[Persons 2016]]-Table55202469298116128134[[#This Row],[Persons 2011]])/Table55202469298116128134[[#This Row],[Persons 2011]],"..")</f>
        <v>..</v>
      </c>
      <c r="I40" s="134"/>
      <c r="J40" s="134"/>
    </row>
    <row r="41" spans="2:10" s="118" customFormat="1">
      <c r="B41" s="520" t="s">
        <v>369</v>
      </c>
      <c r="C41" s="60">
        <f>C42-SUM(C31:C40)</f>
        <v>56</v>
      </c>
      <c r="D41" s="60">
        <f t="shared" ref="D41:E41" si="1">D42-SUM(D31:D40)</f>
        <v>51</v>
      </c>
      <c r="E41" s="60">
        <f t="shared" si="1"/>
        <v>88</v>
      </c>
      <c r="F41" s="289">
        <f>(Table55202469298116128134[[#This Row],[Persons 2016]]/$C$17)</f>
        <v>0.35772357723577236</v>
      </c>
      <c r="G41" s="583">
        <v>69</v>
      </c>
      <c r="H41" s="289">
        <f>IFERROR((Table55202469298116128134[[#This Row],[Persons 2016]]-Table55202469298116128134[[#This Row],[Persons 2011]])/Table55202469298116128134[[#This Row],[Persons 2011]],"..")</f>
        <v>0.27536231884057971</v>
      </c>
      <c r="I41" s="134"/>
      <c r="J41" s="134"/>
    </row>
    <row r="42" spans="2:10" s="118" customFormat="1">
      <c r="B42" s="522" t="s">
        <v>21</v>
      </c>
      <c r="C42" s="585">
        <v>119</v>
      </c>
      <c r="D42" s="585">
        <v>131</v>
      </c>
      <c r="E42" s="585">
        <v>246</v>
      </c>
      <c r="F42" s="586">
        <f>(Table55202469298116128134[[#This Row],[Persons 2016]]/$C$17)</f>
        <v>1</v>
      </c>
      <c r="G42" s="587">
        <v>239</v>
      </c>
      <c r="H42" s="586">
        <f>IFERROR((Table55202469298116128134[[#This Row],[Persons 2016]]-Table55202469298116128134[[#This Row],[Persons 2011]])/Table55202469298116128134[[#This Row],[Persons 2011]],"..")</f>
        <v>2.9288702928870293E-2</v>
      </c>
      <c r="I42" s="137"/>
      <c r="J42" s="137"/>
    </row>
    <row r="43" spans="2:10" s="329" customFormat="1">
      <c r="B43" s="349" t="s">
        <v>366</v>
      </c>
    </row>
    <row r="45" spans="2:10" ht="23.25">
      <c r="B45" s="127" t="s">
        <v>798</v>
      </c>
    </row>
    <row r="46" spans="2:10" ht="15.75">
      <c r="B46" s="138" t="s">
        <v>832</v>
      </c>
    </row>
    <row r="47" spans="2:10">
      <c r="B47" s="149" t="s">
        <v>871</v>
      </c>
    </row>
    <row r="48" spans="2:10">
      <c r="B48" s="266" t="s">
        <v>14</v>
      </c>
      <c r="C48" s="139" t="s">
        <v>23</v>
      </c>
      <c r="D48" s="139" t="s">
        <v>24</v>
      </c>
      <c r="E48" s="139" t="s">
        <v>25</v>
      </c>
      <c r="F48" s="139" t="s">
        <v>26</v>
      </c>
      <c r="G48" s="139" t="s">
        <v>27</v>
      </c>
      <c r="H48" s="267" t="s">
        <v>28</v>
      </c>
    </row>
    <row r="49" spans="2:8">
      <c r="B49" s="292" t="s">
        <v>73</v>
      </c>
      <c r="C49" s="155">
        <v>0</v>
      </c>
      <c r="D49" s="155">
        <v>0</v>
      </c>
      <c r="E49" s="155">
        <v>18</v>
      </c>
      <c r="F49" s="668">
        <v>18</v>
      </c>
      <c r="G49" s="155">
        <v>0</v>
      </c>
      <c r="H49" s="911">
        <v>43</v>
      </c>
    </row>
    <row r="50" spans="2:8">
      <c r="B50" s="912" t="s">
        <v>92</v>
      </c>
      <c r="C50" s="158">
        <v>0</v>
      </c>
      <c r="D50" s="158">
        <v>3</v>
      </c>
      <c r="E50" s="158">
        <v>9</v>
      </c>
      <c r="F50" s="671">
        <v>11</v>
      </c>
      <c r="G50" s="158">
        <v>0</v>
      </c>
      <c r="H50" s="913">
        <v>28</v>
      </c>
    </row>
    <row r="51" spans="2:8">
      <c r="B51" s="914" t="s">
        <v>79</v>
      </c>
      <c r="C51" s="155">
        <v>4</v>
      </c>
      <c r="D51" s="155">
        <v>3</v>
      </c>
      <c r="E51" s="155">
        <v>8</v>
      </c>
      <c r="F51" s="668">
        <v>8</v>
      </c>
      <c r="G51" s="155">
        <v>0</v>
      </c>
      <c r="H51" s="915">
        <v>18</v>
      </c>
    </row>
    <row r="52" spans="2:8">
      <c r="B52" s="294" t="s">
        <v>130</v>
      </c>
      <c r="C52" s="158">
        <v>9</v>
      </c>
      <c r="D52" s="158">
        <v>0</v>
      </c>
      <c r="E52" s="158">
        <v>13</v>
      </c>
      <c r="F52" s="671">
        <v>3</v>
      </c>
      <c r="G52" s="158">
        <v>0</v>
      </c>
      <c r="H52" s="913">
        <v>17</v>
      </c>
    </row>
    <row r="53" spans="2:8">
      <c r="B53" s="292" t="s">
        <v>76</v>
      </c>
      <c r="C53" s="155">
        <v>4</v>
      </c>
      <c r="D53" s="155">
        <v>0</v>
      </c>
      <c r="E53" s="155">
        <v>9</v>
      </c>
      <c r="F53" s="668">
        <v>4</v>
      </c>
      <c r="G53" s="155">
        <v>0</v>
      </c>
      <c r="H53" s="915">
        <v>16</v>
      </c>
    </row>
    <row r="54" spans="2:8">
      <c r="B54" s="912" t="s">
        <v>86</v>
      </c>
      <c r="C54" s="158">
        <v>0</v>
      </c>
      <c r="D54" s="158">
        <v>0</v>
      </c>
      <c r="E54" s="158">
        <v>8</v>
      </c>
      <c r="F54" s="671">
        <v>5</v>
      </c>
      <c r="G54" s="158">
        <v>0</v>
      </c>
      <c r="H54" s="913">
        <v>9</v>
      </c>
    </row>
    <row r="55" spans="2:8">
      <c r="B55" s="292" t="s">
        <v>134</v>
      </c>
      <c r="C55" s="155">
        <v>0</v>
      </c>
      <c r="D55" s="155">
        <v>0</v>
      </c>
      <c r="E55" s="155">
        <v>0</v>
      </c>
      <c r="F55" s="668">
        <v>3</v>
      </c>
      <c r="G55" s="155">
        <v>0</v>
      </c>
      <c r="H55" s="915">
        <v>8</v>
      </c>
    </row>
    <row r="56" spans="2:8">
      <c r="B56" s="912" t="s">
        <v>129</v>
      </c>
      <c r="C56" s="158">
        <v>0</v>
      </c>
      <c r="D56" s="158">
        <v>0</v>
      </c>
      <c r="E56" s="158">
        <v>3</v>
      </c>
      <c r="F56" s="671">
        <v>0</v>
      </c>
      <c r="G56" s="158">
        <v>0</v>
      </c>
      <c r="H56" s="913">
        <v>7</v>
      </c>
    </row>
    <row r="57" spans="2:8">
      <c r="B57" s="292" t="s">
        <v>135</v>
      </c>
      <c r="C57" s="155">
        <v>0</v>
      </c>
      <c r="D57" s="155">
        <v>0</v>
      </c>
      <c r="E57" s="155">
        <v>0</v>
      </c>
      <c r="F57" s="668">
        <v>0</v>
      </c>
      <c r="G57" s="155">
        <v>6</v>
      </c>
      <c r="H57" s="915">
        <v>6</v>
      </c>
    </row>
    <row r="58" spans="2:8">
      <c r="B58" s="294" t="s">
        <v>91</v>
      </c>
      <c r="C58" s="158">
        <v>5</v>
      </c>
      <c r="D58" s="158">
        <v>0</v>
      </c>
      <c r="E58" s="158">
        <v>3</v>
      </c>
      <c r="F58" s="671">
        <v>4</v>
      </c>
      <c r="G58" s="158">
        <v>0</v>
      </c>
      <c r="H58" s="913">
        <v>6</v>
      </c>
    </row>
    <row r="59" spans="2:8">
      <c r="B59" s="297" t="s">
        <v>29</v>
      </c>
      <c r="C59" s="141">
        <v>1530</v>
      </c>
      <c r="D59" s="141">
        <v>976</v>
      </c>
      <c r="E59" s="141">
        <v>1818</v>
      </c>
      <c r="F59" s="141">
        <v>1014</v>
      </c>
      <c r="G59" s="141">
        <v>138</v>
      </c>
      <c r="H59" s="278">
        <v>5477</v>
      </c>
    </row>
    <row r="60" spans="2:8">
      <c r="B60" s="298" t="s">
        <v>30</v>
      </c>
      <c r="C60" s="142">
        <v>0</v>
      </c>
      <c r="D60" s="142">
        <v>5</v>
      </c>
      <c r="E60" s="142">
        <v>37</v>
      </c>
      <c r="F60" s="142">
        <v>42</v>
      </c>
      <c r="G60" s="679">
        <v>0</v>
      </c>
      <c r="H60" s="280">
        <f>C19</f>
        <v>93</v>
      </c>
    </row>
    <row r="61" spans="2:8">
      <c r="B61" s="299" t="s">
        <v>31</v>
      </c>
      <c r="C61" s="282">
        <v>12</v>
      </c>
      <c r="D61" s="282">
        <v>11</v>
      </c>
      <c r="E61" s="282">
        <v>89</v>
      </c>
      <c r="F61" s="282">
        <v>45</v>
      </c>
      <c r="G61" s="282">
        <v>7</v>
      </c>
      <c r="H61" s="283">
        <f>C20</f>
        <v>159</v>
      </c>
    </row>
    <row r="63" spans="2:8" ht="23.25">
      <c r="B63" s="127" t="s">
        <v>799</v>
      </c>
    </row>
    <row r="64" spans="2:8" ht="15.75">
      <c r="B64" s="138" t="s">
        <v>833</v>
      </c>
    </row>
    <row r="65" spans="2:8">
      <c r="B65" s="149" t="s">
        <v>843</v>
      </c>
    </row>
    <row r="66" spans="2:8" ht="12" customHeight="1">
      <c r="B66" s="266" t="s">
        <v>14</v>
      </c>
      <c r="C66" s="144" t="s">
        <v>23</v>
      </c>
      <c r="D66" s="144" t="s">
        <v>24</v>
      </c>
      <c r="E66" s="144" t="s">
        <v>25</v>
      </c>
      <c r="F66" s="144" t="s">
        <v>26</v>
      </c>
      <c r="G66" s="144" t="s">
        <v>27</v>
      </c>
      <c r="H66" s="421" t="s">
        <v>28</v>
      </c>
    </row>
    <row r="67" spans="2:8">
      <c r="B67" s="294" t="str">
        <f t="shared" ref="B67:B79" si="2">B49</f>
        <v>New Zealand</v>
      </c>
      <c r="C67" s="54">
        <f>IFERROR(C49/$H$49,"..")</f>
        <v>0</v>
      </c>
      <c r="D67" s="54">
        <f t="shared" ref="D67:D76" si="3">IFERROR(D49/H49,"-")</f>
        <v>0</v>
      </c>
      <c r="E67" s="54">
        <f t="shared" ref="E67:E76" si="4">IFERROR(E49/H49,"-")</f>
        <v>0.41860465116279072</v>
      </c>
      <c r="F67" s="54">
        <f t="shared" ref="F67:F76" si="5">IFERROR(F49/H49,"-")</f>
        <v>0.41860465116279072</v>
      </c>
      <c r="G67" s="54">
        <f t="shared" ref="G67:G76" si="6">IFERROR(G49/H49,"-")</f>
        <v>0</v>
      </c>
      <c r="H67" s="911">
        <v>43</v>
      </c>
    </row>
    <row r="68" spans="2:8">
      <c r="B68" s="292" t="str">
        <f t="shared" si="2"/>
        <v>England</v>
      </c>
      <c r="C68" s="64">
        <f t="shared" ref="C68:C76" si="7">IFERROR(C50/H50,"-")</f>
        <v>0</v>
      </c>
      <c r="D68" s="64">
        <f t="shared" si="3"/>
        <v>0.10714285714285714</v>
      </c>
      <c r="E68" s="64">
        <f t="shared" si="4"/>
        <v>0.32142857142857145</v>
      </c>
      <c r="F68" s="64">
        <f t="shared" si="5"/>
        <v>0.39285714285714285</v>
      </c>
      <c r="G68" s="64">
        <f t="shared" si="6"/>
        <v>0</v>
      </c>
      <c r="H68" s="913">
        <v>28</v>
      </c>
    </row>
    <row r="69" spans="2:8">
      <c r="B69" s="294" t="str">
        <f t="shared" si="2"/>
        <v>Germany</v>
      </c>
      <c r="C69" s="54">
        <f t="shared" si="7"/>
        <v>0.22222222222222221</v>
      </c>
      <c r="D69" s="54">
        <f t="shared" si="3"/>
        <v>0.16666666666666666</v>
      </c>
      <c r="E69" s="54">
        <f t="shared" si="4"/>
        <v>0.44444444444444442</v>
      </c>
      <c r="F69" s="54">
        <f t="shared" si="5"/>
        <v>0.44444444444444442</v>
      </c>
      <c r="G69" s="54">
        <f t="shared" si="6"/>
        <v>0</v>
      </c>
      <c r="H69" s="915">
        <v>18</v>
      </c>
    </row>
    <row r="70" spans="2:8">
      <c r="B70" s="292" t="str">
        <f t="shared" si="2"/>
        <v>Papua New Guinea</v>
      </c>
      <c r="C70" s="64">
        <f t="shared" si="7"/>
        <v>0.52941176470588236</v>
      </c>
      <c r="D70" s="64">
        <f t="shared" si="3"/>
        <v>0</v>
      </c>
      <c r="E70" s="64">
        <f t="shared" si="4"/>
        <v>0.76470588235294112</v>
      </c>
      <c r="F70" s="64">
        <f t="shared" si="5"/>
        <v>0.17647058823529413</v>
      </c>
      <c r="G70" s="64">
        <f t="shared" si="6"/>
        <v>0</v>
      </c>
      <c r="H70" s="913">
        <v>17</v>
      </c>
    </row>
    <row r="71" spans="2:8">
      <c r="B71" s="294" t="str">
        <f t="shared" si="2"/>
        <v>Philippines</v>
      </c>
      <c r="C71" s="54">
        <f t="shared" si="7"/>
        <v>0.25</v>
      </c>
      <c r="D71" s="54">
        <f t="shared" si="3"/>
        <v>0</v>
      </c>
      <c r="E71" s="54">
        <f t="shared" si="4"/>
        <v>0.5625</v>
      </c>
      <c r="F71" s="54">
        <f t="shared" si="5"/>
        <v>0.25</v>
      </c>
      <c r="G71" s="54">
        <f t="shared" si="6"/>
        <v>0</v>
      </c>
      <c r="H71" s="915">
        <v>16</v>
      </c>
    </row>
    <row r="72" spans="2:8">
      <c r="B72" s="292" t="str">
        <f t="shared" si="2"/>
        <v>Thailand</v>
      </c>
      <c r="C72" s="64">
        <f t="shared" si="7"/>
        <v>0</v>
      </c>
      <c r="D72" s="64">
        <f t="shared" si="3"/>
        <v>0</v>
      </c>
      <c r="E72" s="64">
        <f t="shared" si="4"/>
        <v>0.88888888888888884</v>
      </c>
      <c r="F72" s="64">
        <f t="shared" si="5"/>
        <v>0.55555555555555558</v>
      </c>
      <c r="G72" s="64">
        <f t="shared" si="6"/>
        <v>0</v>
      </c>
      <c r="H72" s="913">
        <v>9</v>
      </c>
    </row>
    <row r="73" spans="2:8">
      <c r="B73" s="294" t="str">
        <f t="shared" si="2"/>
        <v>Northern Ireland</v>
      </c>
      <c r="C73" s="54">
        <f t="shared" si="7"/>
        <v>0</v>
      </c>
      <c r="D73" s="54">
        <f t="shared" si="3"/>
        <v>0</v>
      </c>
      <c r="E73" s="54">
        <f t="shared" si="4"/>
        <v>0</v>
      </c>
      <c r="F73" s="54">
        <f t="shared" si="5"/>
        <v>0.375</v>
      </c>
      <c r="G73" s="54">
        <f t="shared" si="6"/>
        <v>0</v>
      </c>
      <c r="H73" s="915">
        <v>8</v>
      </c>
    </row>
    <row r="74" spans="2:8">
      <c r="B74" s="292" t="str">
        <f t="shared" si="2"/>
        <v>France</v>
      </c>
      <c r="C74" s="64">
        <f t="shared" si="7"/>
        <v>0</v>
      </c>
      <c r="D74" s="64">
        <f t="shared" si="3"/>
        <v>0</v>
      </c>
      <c r="E74" s="64">
        <f t="shared" si="4"/>
        <v>0.42857142857142855</v>
      </c>
      <c r="F74" s="64">
        <f t="shared" si="5"/>
        <v>0</v>
      </c>
      <c r="G74" s="64">
        <f t="shared" si="6"/>
        <v>0</v>
      </c>
      <c r="H74" s="913">
        <v>7</v>
      </c>
    </row>
    <row r="75" spans="2:8">
      <c r="B75" s="294" t="str">
        <f t="shared" si="2"/>
        <v>Kiribati</v>
      </c>
      <c r="C75" s="54">
        <f t="shared" si="7"/>
        <v>0</v>
      </c>
      <c r="D75" s="54">
        <f t="shared" si="3"/>
        <v>0</v>
      </c>
      <c r="E75" s="54">
        <f t="shared" si="4"/>
        <v>0</v>
      </c>
      <c r="F75" s="54">
        <f t="shared" si="5"/>
        <v>0</v>
      </c>
      <c r="G75" s="54">
        <f t="shared" si="6"/>
        <v>1</v>
      </c>
      <c r="H75" s="915">
        <v>6</v>
      </c>
    </row>
    <row r="76" spans="2:8">
      <c r="B76" s="292" t="str">
        <f t="shared" si="2"/>
        <v>Indonesia</v>
      </c>
      <c r="C76" s="64">
        <f t="shared" si="7"/>
        <v>0.83333333333333337</v>
      </c>
      <c r="D76" s="64">
        <f t="shared" si="3"/>
        <v>0</v>
      </c>
      <c r="E76" s="64">
        <f t="shared" si="4"/>
        <v>0.5</v>
      </c>
      <c r="F76" s="64">
        <f t="shared" si="5"/>
        <v>0.66666666666666663</v>
      </c>
      <c r="G76" s="64">
        <f t="shared" si="6"/>
        <v>0</v>
      </c>
      <c r="H76" s="913">
        <v>6</v>
      </c>
    </row>
    <row r="77" spans="2:8">
      <c r="B77" s="297" t="str">
        <f t="shared" si="2"/>
        <v>Australia</v>
      </c>
      <c r="C77" s="70">
        <f>SUM(C59/H59)</f>
        <v>0.27935000912908525</v>
      </c>
      <c r="D77" s="70">
        <f>SUM(D59/H59)</f>
        <v>0.17819974438561256</v>
      </c>
      <c r="E77" s="70">
        <f>SUM(E59/H59)</f>
        <v>0.33193354025926602</v>
      </c>
      <c r="F77" s="70">
        <f>SUM(F59/H59)</f>
        <v>0.18513784918751142</v>
      </c>
      <c r="G77" s="70">
        <f>SUM(G59/H59)</f>
        <v>2.5196275333211612E-2</v>
      </c>
      <c r="H77" s="278">
        <f>H59</f>
        <v>5477</v>
      </c>
    </row>
    <row r="78" spans="2:8">
      <c r="B78" s="298" t="str">
        <f t="shared" si="2"/>
        <v>Mainly English speaking countries</v>
      </c>
      <c r="C78" s="73">
        <f>SUM(C60/H60)</f>
        <v>0</v>
      </c>
      <c r="D78" s="73">
        <f>SUM(D60/H60)</f>
        <v>5.3763440860215055E-2</v>
      </c>
      <c r="E78" s="73">
        <f>SUM(E60/H60)</f>
        <v>0.39784946236559138</v>
      </c>
      <c r="F78" s="73">
        <f>SUM(F60/H60)</f>
        <v>0.45161290322580644</v>
      </c>
      <c r="G78" s="73">
        <f>SUM(G60/H60)</f>
        <v>0</v>
      </c>
      <c r="H78" s="280">
        <f>C19</f>
        <v>93</v>
      </c>
    </row>
    <row r="79" spans="2:8">
      <c r="B79" s="299" t="str">
        <f t="shared" si="2"/>
        <v>Non-main English speaking countries</v>
      </c>
      <c r="C79" s="300">
        <f>SUM(C61/H61)</f>
        <v>7.5471698113207544E-2</v>
      </c>
      <c r="D79" s="300">
        <f>SUM(D61/H61)</f>
        <v>6.9182389937106917E-2</v>
      </c>
      <c r="E79" s="300">
        <f>SUM(E61/H61)</f>
        <v>0.55974842767295596</v>
      </c>
      <c r="F79" s="300">
        <f>SUM(F61/H61)</f>
        <v>0.28301886792452829</v>
      </c>
      <c r="G79" s="300">
        <f>SUM(G61/H61)</f>
        <v>4.40251572327044E-2</v>
      </c>
      <c r="H79" s="283">
        <f>C20</f>
        <v>159</v>
      </c>
    </row>
    <row r="81" spans="2:8" ht="23.25">
      <c r="B81" s="127" t="s">
        <v>800</v>
      </c>
    </row>
    <row r="82" spans="2:8" ht="15.75">
      <c r="B82" s="150" t="s">
        <v>844</v>
      </c>
    </row>
    <row r="83" spans="2:8">
      <c r="B83" s="149" t="s">
        <v>887</v>
      </c>
    </row>
    <row r="84" spans="2:8">
      <c r="B84" s="151" t="s">
        <v>14</v>
      </c>
      <c r="C84" s="526" t="s">
        <v>32</v>
      </c>
      <c r="D84" s="526" t="s">
        <v>33</v>
      </c>
      <c r="E84" s="526" t="s">
        <v>34</v>
      </c>
      <c r="F84" s="526" t="s">
        <v>35</v>
      </c>
      <c r="G84" s="526">
        <v>2016</v>
      </c>
      <c r="H84" s="544" t="s">
        <v>28</v>
      </c>
    </row>
    <row r="85" spans="2:8">
      <c r="B85" s="154" t="s">
        <v>73</v>
      </c>
      <c r="C85" s="155">
        <v>11</v>
      </c>
      <c r="D85" s="155">
        <v>4</v>
      </c>
      <c r="E85" s="155">
        <v>11</v>
      </c>
      <c r="F85" s="156">
        <v>15</v>
      </c>
      <c r="G85" s="155">
        <v>0</v>
      </c>
      <c r="H85" s="157">
        <v>43</v>
      </c>
    </row>
    <row r="86" spans="2:8">
      <c r="B86" s="66" t="s">
        <v>92</v>
      </c>
      <c r="C86" s="158">
        <v>10</v>
      </c>
      <c r="D86" s="158">
        <v>7</v>
      </c>
      <c r="E86" s="158">
        <v>3</v>
      </c>
      <c r="F86" s="159">
        <v>9</v>
      </c>
      <c r="G86" s="158">
        <v>0</v>
      </c>
      <c r="H86" s="160">
        <v>28</v>
      </c>
    </row>
    <row r="87" spans="2:8">
      <c r="B87" s="63" t="s">
        <v>79</v>
      </c>
      <c r="C87" s="155">
        <v>9</v>
      </c>
      <c r="D87" s="155">
        <v>0</v>
      </c>
      <c r="E87" s="155">
        <v>3</v>
      </c>
      <c r="F87" s="156">
        <v>4</v>
      </c>
      <c r="G87" s="155">
        <v>0</v>
      </c>
      <c r="H87" s="161">
        <v>18</v>
      </c>
    </row>
    <row r="88" spans="2:8">
      <c r="B88" s="162" t="s">
        <v>130</v>
      </c>
      <c r="C88" s="158">
        <v>4</v>
      </c>
      <c r="D88" s="158">
        <v>0</v>
      </c>
      <c r="E88" s="158">
        <v>0</v>
      </c>
      <c r="F88" s="159">
        <v>8</v>
      </c>
      <c r="G88" s="158">
        <v>0</v>
      </c>
      <c r="H88" s="160">
        <v>17</v>
      </c>
    </row>
    <row r="89" spans="2:8">
      <c r="B89" s="154" t="s">
        <v>76</v>
      </c>
      <c r="C89" s="155">
        <v>0</v>
      </c>
      <c r="D89" s="155">
        <v>0</v>
      </c>
      <c r="E89" s="155">
        <v>0</v>
      </c>
      <c r="F89" s="156">
        <v>9</v>
      </c>
      <c r="G89" s="155">
        <v>3</v>
      </c>
      <c r="H89" s="161">
        <v>16</v>
      </c>
    </row>
    <row r="90" spans="2:8">
      <c r="B90" s="66" t="s">
        <v>86</v>
      </c>
      <c r="C90" s="158">
        <v>0</v>
      </c>
      <c r="D90" s="158">
        <v>0</v>
      </c>
      <c r="E90" s="158">
        <v>0</v>
      </c>
      <c r="F90" s="159">
        <v>4</v>
      </c>
      <c r="G90" s="158">
        <v>0</v>
      </c>
      <c r="H90" s="160">
        <v>9</v>
      </c>
    </row>
    <row r="91" spans="2:8">
      <c r="B91" s="63" t="s">
        <v>134</v>
      </c>
      <c r="C91" s="155">
        <v>3</v>
      </c>
      <c r="D91" s="155">
        <v>0</v>
      </c>
      <c r="E91" s="155">
        <v>0</v>
      </c>
      <c r="F91" s="156">
        <v>0</v>
      </c>
      <c r="G91" s="155">
        <v>0</v>
      </c>
      <c r="H91" s="161">
        <v>8</v>
      </c>
    </row>
    <row r="92" spans="2:8">
      <c r="B92" s="162" t="s">
        <v>129</v>
      </c>
      <c r="C92" s="158">
        <v>0</v>
      </c>
      <c r="D92" s="158">
        <v>0</v>
      </c>
      <c r="E92" s="158">
        <v>0</v>
      </c>
      <c r="F92" s="159">
        <v>4</v>
      </c>
      <c r="G92" s="158">
        <v>0</v>
      </c>
      <c r="H92" s="160">
        <v>7</v>
      </c>
    </row>
    <row r="93" spans="2:8">
      <c r="B93" s="63" t="s">
        <v>135</v>
      </c>
      <c r="C93" s="155">
        <v>0</v>
      </c>
      <c r="D93" s="155">
        <v>0</v>
      </c>
      <c r="E93" s="155">
        <v>0</v>
      </c>
      <c r="F93" s="156">
        <v>0</v>
      </c>
      <c r="G93" s="155">
        <v>0</v>
      </c>
      <c r="H93" s="161">
        <v>6</v>
      </c>
    </row>
    <row r="94" spans="2:8">
      <c r="B94" s="162" t="s">
        <v>91</v>
      </c>
      <c r="C94" s="158">
        <v>0</v>
      </c>
      <c r="D94" s="158">
        <v>0</v>
      </c>
      <c r="E94" s="158">
        <v>3</v>
      </c>
      <c r="F94" s="159">
        <v>3</v>
      </c>
      <c r="G94" s="158">
        <v>0</v>
      </c>
      <c r="H94" s="160">
        <v>6</v>
      </c>
    </row>
    <row r="95" spans="2:8">
      <c r="B95" s="72" t="s">
        <v>30</v>
      </c>
      <c r="C95" s="142">
        <v>25</v>
      </c>
      <c r="D95" s="142">
        <v>9</v>
      </c>
      <c r="E95" s="142">
        <v>14</v>
      </c>
      <c r="F95" s="142">
        <v>32</v>
      </c>
      <c r="G95" s="1161">
        <v>0</v>
      </c>
      <c r="H95" s="74">
        <f>C19</f>
        <v>93</v>
      </c>
    </row>
    <row r="96" spans="2:8">
      <c r="B96" s="75" t="s">
        <v>31</v>
      </c>
      <c r="C96" s="1132">
        <v>20</v>
      </c>
      <c r="D96" s="1132">
        <v>17</v>
      </c>
      <c r="E96" s="1132">
        <v>21</v>
      </c>
      <c r="F96" s="1132">
        <v>74</v>
      </c>
      <c r="G96" s="1132">
        <v>10</v>
      </c>
      <c r="H96" s="77">
        <f>C20</f>
        <v>159</v>
      </c>
    </row>
    <row r="97" spans="2:20" ht="23.25">
      <c r="B97" s="127"/>
    </row>
    <row r="98" spans="2:20" ht="23.25">
      <c r="B98" s="127" t="s">
        <v>801</v>
      </c>
    </row>
    <row r="99" spans="2:20" ht="15.75">
      <c r="B99" s="150" t="s">
        <v>846</v>
      </c>
    </row>
    <row r="100" spans="2:20">
      <c r="B100" s="149" t="s">
        <v>845</v>
      </c>
      <c r="J100" s="169"/>
      <c r="K100" s="170"/>
      <c r="L100" s="170"/>
      <c r="M100" s="170"/>
      <c r="N100" s="170"/>
    </row>
    <row r="101" spans="2:20">
      <c r="B101" s="151" t="s">
        <v>14</v>
      </c>
      <c r="C101" s="526" t="s">
        <v>32</v>
      </c>
      <c r="D101" s="526" t="s">
        <v>33</v>
      </c>
      <c r="E101" s="526" t="s">
        <v>34</v>
      </c>
      <c r="F101" s="526" t="s">
        <v>35</v>
      </c>
      <c r="G101" s="526">
        <v>2016</v>
      </c>
      <c r="H101" s="544" t="s">
        <v>28</v>
      </c>
      <c r="J101" s="169"/>
      <c r="K101" s="170"/>
      <c r="L101" s="170"/>
      <c r="M101" s="170"/>
      <c r="N101" s="170"/>
    </row>
    <row r="102" spans="2:20">
      <c r="B102" s="63" t="str">
        <f t="shared" ref="B102:B111" si="8">B85</f>
        <v>New Zealand</v>
      </c>
      <c r="C102" s="64">
        <f t="shared" ref="C102:C113" si="9">IFERROR(C85/H85,"-")</f>
        <v>0.2558139534883721</v>
      </c>
      <c r="D102" s="64">
        <f t="shared" ref="D102:D113" si="10">IFERROR(D85/H85,"-")</f>
        <v>9.3023255813953487E-2</v>
      </c>
      <c r="E102" s="64">
        <f t="shared" ref="E102:E113" si="11">IFERROR(E85/H85,"-")</f>
        <v>0.2558139534883721</v>
      </c>
      <c r="F102" s="64">
        <f>SUM(F85/H85)</f>
        <v>0.34883720930232559</v>
      </c>
      <c r="G102" s="64">
        <f t="shared" ref="G102:G113" si="12">IFERROR(G85/H85,"-")</f>
        <v>0</v>
      </c>
      <c r="H102" s="78">
        <f t="shared" ref="H102:H113" si="13">H85</f>
        <v>43</v>
      </c>
      <c r="J102" s="169"/>
      <c r="K102" s="170"/>
      <c r="L102" s="170"/>
      <c r="M102" s="170"/>
      <c r="N102" s="170"/>
    </row>
    <row r="103" spans="2:20">
      <c r="B103" s="66" t="str">
        <f t="shared" si="8"/>
        <v>England</v>
      </c>
      <c r="C103" s="54">
        <f t="shared" si="9"/>
        <v>0.35714285714285715</v>
      </c>
      <c r="D103" s="54">
        <f t="shared" si="10"/>
        <v>0.25</v>
      </c>
      <c r="E103" s="54">
        <f t="shared" si="11"/>
        <v>0.10714285714285714</v>
      </c>
      <c r="F103" s="54">
        <f>SUM(F86/H86)</f>
        <v>0.32142857142857145</v>
      </c>
      <c r="G103" s="54">
        <f t="shared" si="12"/>
        <v>0</v>
      </c>
      <c r="H103" s="79">
        <f t="shared" si="13"/>
        <v>28</v>
      </c>
      <c r="J103" s="169"/>
      <c r="K103" s="170"/>
      <c r="L103" s="170"/>
      <c r="M103" s="170"/>
      <c r="N103" s="170"/>
    </row>
    <row r="104" spans="2:20">
      <c r="B104" s="63" t="str">
        <f t="shared" si="8"/>
        <v>Germany</v>
      </c>
      <c r="C104" s="64">
        <f t="shared" si="9"/>
        <v>0.5</v>
      </c>
      <c r="D104" s="64">
        <f t="shared" si="10"/>
        <v>0</v>
      </c>
      <c r="E104" s="64">
        <f t="shared" si="11"/>
        <v>0.16666666666666666</v>
      </c>
      <c r="F104" s="64">
        <f>SUM(F87/H87)</f>
        <v>0.22222222222222221</v>
      </c>
      <c r="G104" s="64">
        <f t="shared" si="12"/>
        <v>0</v>
      </c>
      <c r="H104" s="80">
        <f t="shared" si="13"/>
        <v>18</v>
      </c>
      <c r="J104" s="169"/>
      <c r="K104" s="170"/>
      <c r="L104" s="170"/>
      <c r="M104" s="170"/>
      <c r="N104" s="170"/>
    </row>
    <row r="105" spans="2:20">
      <c r="B105" s="66" t="str">
        <f t="shared" si="8"/>
        <v>Papua New Guinea</v>
      </c>
      <c r="C105" s="54">
        <f t="shared" si="9"/>
        <v>0.23529411764705882</v>
      </c>
      <c r="D105" s="54">
        <f t="shared" si="10"/>
        <v>0</v>
      </c>
      <c r="E105" s="54">
        <f t="shared" si="11"/>
        <v>0</v>
      </c>
      <c r="F105" s="54">
        <f>SUM(F88/H88)</f>
        <v>0.47058823529411764</v>
      </c>
      <c r="G105" s="54">
        <f t="shared" si="12"/>
        <v>0</v>
      </c>
      <c r="H105" s="79">
        <f t="shared" si="13"/>
        <v>17</v>
      </c>
      <c r="J105" s="169"/>
      <c r="K105" s="170"/>
      <c r="L105" s="170"/>
      <c r="M105" s="170"/>
      <c r="N105" s="170"/>
    </row>
    <row r="106" spans="2:20">
      <c r="B106" s="63" t="str">
        <f t="shared" si="8"/>
        <v>Philippines</v>
      </c>
      <c r="C106" s="64">
        <f t="shared" si="9"/>
        <v>0</v>
      </c>
      <c r="D106" s="64">
        <f t="shared" si="10"/>
        <v>0</v>
      </c>
      <c r="E106" s="64">
        <f t="shared" si="11"/>
        <v>0</v>
      </c>
      <c r="F106" s="64">
        <f>SUM(F89/H89)</f>
        <v>0.5625</v>
      </c>
      <c r="G106" s="64">
        <f t="shared" si="12"/>
        <v>0.1875</v>
      </c>
      <c r="H106" s="80">
        <f t="shared" si="13"/>
        <v>16</v>
      </c>
      <c r="J106" s="169"/>
      <c r="K106" s="170"/>
      <c r="L106" s="170"/>
      <c r="M106" s="170"/>
      <c r="N106" s="170"/>
    </row>
    <row r="107" spans="2:20">
      <c r="B107" s="66" t="str">
        <f t="shared" si="8"/>
        <v>Thailand</v>
      </c>
      <c r="C107" s="54">
        <f t="shared" si="9"/>
        <v>0</v>
      </c>
      <c r="D107" s="54">
        <f t="shared" si="10"/>
        <v>0</v>
      </c>
      <c r="E107" s="54">
        <f t="shared" si="11"/>
        <v>0</v>
      </c>
      <c r="F107" s="54">
        <f t="shared" ref="F107:F112" si="14">IFERROR(F90/H90,"-")</f>
        <v>0.44444444444444442</v>
      </c>
      <c r="G107" s="54">
        <f t="shared" si="12"/>
        <v>0</v>
      </c>
      <c r="H107" s="79">
        <f t="shared" si="13"/>
        <v>9</v>
      </c>
      <c r="J107" s="169"/>
      <c r="K107" s="170"/>
      <c r="L107" s="170"/>
      <c r="M107" s="170"/>
      <c r="N107" s="170"/>
    </row>
    <row r="108" spans="2:20">
      <c r="B108" s="63" t="str">
        <f t="shared" si="8"/>
        <v>Northern Ireland</v>
      </c>
      <c r="C108" s="64">
        <f t="shared" si="9"/>
        <v>0.375</v>
      </c>
      <c r="D108" s="64">
        <f t="shared" si="10"/>
        <v>0</v>
      </c>
      <c r="E108" s="64">
        <f t="shared" si="11"/>
        <v>0</v>
      </c>
      <c r="F108" s="64">
        <f t="shared" si="14"/>
        <v>0</v>
      </c>
      <c r="G108" s="64">
        <f t="shared" si="12"/>
        <v>0</v>
      </c>
      <c r="H108" s="80">
        <f t="shared" si="13"/>
        <v>8</v>
      </c>
      <c r="O108" s="170"/>
      <c r="P108" s="170"/>
      <c r="Q108" s="170"/>
      <c r="R108" s="170"/>
      <c r="S108" s="170"/>
      <c r="T108" s="170"/>
    </row>
    <row r="109" spans="2:20">
      <c r="B109" s="66" t="str">
        <f t="shared" si="8"/>
        <v>France</v>
      </c>
      <c r="C109" s="54">
        <f t="shared" si="9"/>
        <v>0</v>
      </c>
      <c r="D109" s="54">
        <f t="shared" si="10"/>
        <v>0</v>
      </c>
      <c r="E109" s="54">
        <f t="shared" si="11"/>
        <v>0</v>
      </c>
      <c r="F109" s="54">
        <f t="shared" si="14"/>
        <v>0.5714285714285714</v>
      </c>
      <c r="G109" s="54">
        <f t="shared" si="12"/>
        <v>0</v>
      </c>
      <c r="H109" s="79">
        <f t="shared" si="13"/>
        <v>7</v>
      </c>
    </row>
    <row r="110" spans="2:20">
      <c r="B110" s="63" t="str">
        <f t="shared" si="8"/>
        <v>Kiribati</v>
      </c>
      <c r="C110" s="64">
        <f t="shared" si="9"/>
        <v>0</v>
      </c>
      <c r="D110" s="64">
        <f t="shared" si="10"/>
        <v>0</v>
      </c>
      <c r="E110" s="64">
        <f t="shared" si="11"/>
        <v>0</v>
      </c>
      <c r="F110" s="64">
        <f t="shared" si="14"/>
        <v>0</v>
      </c>
      <c r="G110" s="64">
        <f t="shared" si="12"/>
        <v>0</v>
      </c>
      <c r="H110" s="80">
        <f t="shared" si="13"/>
        <v>6</v>
      </c>
    </row>
    <row r="111" spans="2:20">
      <c r="B111" s="81" t="str">
        <f t="shared" si="8"/>
        <v>Indonesia</v>
      </c>
      <c r="C111" s="82">
        <f t="shared" si="9"/>
        <v>0</v>
      </c>
      <c r="D111" s="82">
        <f t="shared" si="10"/>
        <v>0</v>
      </c>
      <c r="E111" s="82">
        <f t="shared" si="11"/>
        <v>0.5</v>
      </c>
      <c r="F111" s="82">
        <f t="shared" si="14"/>
        <v>0.5</v>
      </c>
      <c r="G111" s="82">
        <f t="shared" si="12"/>
        <v>0</v>
      </c>
      <c r="H111" s="83">
        <f t="shared" si="13"/>
        <v>6</v>
      </c>
    </row>
    <row r="112" spans="2:20">
      <c r="B112" s="72" t="s">
        <v>30</v>
      </c>
      <c r="C112" s="73">
        <f t="shared" si="9"/>
        <v>0.26881720430107525</v>
      </c>
      <c r="D112" s="73">
        <f t="shared" si="10"/>
        <v>9.6774193548387094E-2</v>
      </c>
      <c r="E112" s="73">
        <f t="shared" si="11"/>
        <v>0.15053763440860216</v>
      </c>
      <c r="F112" s="73">
        <f t="shared" si="14"/>
        <v>0.34408602150537637</v>
      </c>
      <c r="G112" s="73">
        <f t="shared" si="12"/>
        <v>0</v>
      </c>
      <c r="H112" s="171">
        <f t="shared" si="13"/>
        <v>93</v>
      </c>
    </row>
    <row r="113" spans="2:8">
      <c r="B113" s="75" t="s">
        <v>31</v>
      </c>
      <c r="C113" s="76">
        <f t="shared" si="9"/>
        <v>0.12578616352201258</v>
      </c>
      <c r="D113" s="76">
        <f t="shared" si="10"/>
        <v>0.1069182389937107</v>
      </c>
      <c r="E113" s="76">
        <f t="shared" si="11"/>
        <v>0.13207547169811321</v>
      </c>
      <c r="F113" s="76">
        <f>SUM(F95/H95)</f>
        <v>0.34408602150537637</v>
      </c>
      <c r="G113" s="76">
        <f t="shared" si="12"/>
        <v>6.2893081761006289E-2</v>
      </c>
      <c r="H113" s="172">
        <f t="shared" si="13"/>
        <v>159</v>
      </c>
    </row>
    <row r="115" spans="2:8" ht="23.25">
      <c r="B115" s="127" t="s">
        <v>802</v>
      </c>
    </row>
    <row r="116" spans="2:8" ht="15.75">
      <c r="B116" s="150" t="s">
        <v>330</v>
      </c>
    </row>
    <row r="117" spans="2:8" ht="25.5">
      <c r="B117" s="173" t="s">
        <v>36</v>
      </c>
      <c r="C117" s="173" t="s">
        <v>37</v>
      </c>
      <c r="D117" s="173" t="s">
        <v>38</v>
      </c>
      <c r="E117" s="173" t="s">
        <v>6</v>
      </c>
      <c r="F117" s="173" t="s">
        <v>39</v>
      </c>
      <c r="G117" s="173" t="s">
        <v>7</v>
      </c>
      <c r="H117" s="173" t="s">
        <v>40</v>
      </c>
    </row>
    <row r="118" spans="2:8">
      <c r="B118" s="155" t="s">
        <v>95</v>
      </c>
      <c r="C118" s="103">
        <v>2049</v>
      </c>
      <c r="D118" s="103">
        <v>2036</v>
      </c>
      <c r="E118" s="103">
        <v>4085</v>
      </c>
      <c r="F118" s="224">
        <f>IFERROR(Table792226894100118130136[[#This Row],[Persons]]/$C$23,"-")</f>
        <v>0.95914533928152146</v>
      </c>
      <c r="G118" s="103">
        <v>4313</v>
      </c>
      <c r="H118" s="64">
        <f t="shared" ref="H118:H128" si="15">IFERROR((E118-G118)/G118,"..")</f>
        <v>-5.2863436123348019E-2</v>
      </c>
    </row>
    <row r="119" spans="2:8">
      <c r="B119" s="158" t="s">
        <v>97</v>
      </c>
      <c r="C119" s="106">
        <v>9</v>
      </c>
      <c r="D119" s="106">
        <v>4</v>
      </c>
      <c r="E119" s="106">
        <v>16</v>
      </c>
      <c r="F119" s="226">
        <f>IFERROR(Table792226894100118130136[[#This Row],[Persons]]/$C$23,"-")</f>
        <v>3.7567504108945763E-3</v>
      </c>
      <c r="G119" s="106" t="s">
        <v>94</v>
      </c>
      <c r="H119" s="54" t="str">
        <f t="shared" si="15"/>
        <v>..</v>
      </c>
    </row>
    <row r="120" spans="2:8">
      <c r="B120" s="155" t="s">
        <v>146</v>
      </c>
      <c r="C120" s="103">
        <v>6</v>
      </c>
      <c r="D120" s="103">
        <v>7</v>
      </c>
      <c r="E120" s="103">
        <v>12</v>
      </c>
      <c r="F120" s="224">
        <f>IFERROR(Table792226894100118130136[[#This Row],[Persons]]/$C$23,"-")</f>
        <v>2.8175628081709321E-3</v>
      </c>
      <c r="G120" s="103" t="s">
        <v>94</v>
      </c>
      <c r="H120" s="64" t="str">
        <f t="shared" si="15"/>
        <v>..</v>
      </c>
    </row>
    <row r="121" spans="2:8">
      <c r="B121" s="158" t="s">
        <v>105</v>
      </c>
      <c r="C121" s="106">
        <v>6</v>
      </c>
      <c r="D121" s="106">
        <v>4</v>
      </c>
      <c r="E121" s="106">
        <v>10</v>
      </c>
      <c r="F121" s="226">
        <f>IFERROR(Table792226894100118130136[[#This Row],[Persons]]/$C$23,"-")</f>
        <v>2.3479690068091102E-3</v>
      </c>
      <c r="G121" s="106">
        <v>12</v>
      </c>
      <c r="H121" s="54">
        <f t="shared" si="15"/>
        <v>-0.16666666666666666</v>
      </c>
    </row>
    <row r="122" spans="2:8">
      <c r="B122" s="155" t="s">
        <v>53</v>
      </c>
      <c r="C122" s="103">
        <v>5</v>
      </c>
      <c r="D122" s="103">
        <v>9</v>
      </c>
      <c r="E122" s="103">
        <v>10</v>
      </c>
      <c r="F122" s="224">
        <f>IFERROR(Table792226894100118130136[[#This Row],[Persons]]/$C$23,"-")</f>
        <v>2.3479690068091102E-3</v>
      </c>
      <c r="G122" s="103">
        <v>14</v>
      </c>
      <c r="H122" s="64">
        <f t="shared" si="15"/>
        <v>-0.2857142857142857</v>
      </c>
    </row>
    <row r="123" spans="2:8">
      <c r="B123" s="158" t="s">
        <v>113</v>
      </c>
      <c r="C123" s="106">
        <v>4</v>
      </c>
      <c r="D123" s="106">
        <v>10</v>
      </c>
      <c r="E123" s="106">
        <v>9</v>
      </c>
      <c r="F123" s="226">
        <f>IFERROR(Table792226894100118130136[[#This Row],[Persons]]/$C$23,"-")</f>
        <v>2.1131721061281991E-3</v>
      </c>
      <c r="G123" s="106" t="s">
        <v>94</v>
      </c>
      <c r="H123" s="54" t="str">
        <f t="shared" si="15"/>
        <v>..</v>
      </c>
    </row>
    <row r="124" spans="2:8">
      <c r="B124" s="155" t="s">
        <v>47</v>
      </c>
      <c r="C124" s="103">
        <v>4</v>
      </c>
      <c r="D124" s="103">
        <v>5</v>
      </c>
      <c r="E124" s="103">
        <v>8</v>
      </c>
      <c r="F124" s="224">
        <f>IFERROR(Table792226894100118130136[[#This Row],[Persons]]/$C$23,"-")</f>
        <v>1.8783752054472881E-3</v>
      </c>
      <c r="G124" s="106" t="s">
        <v>94</v>
      </c>
      <c r="H124" s="64" t="str">
        <f t="shared" si="15"/>
        <v>..</v>
      </c>
    </row>
    <row r="125" spans="2:8">
      <c r="B125" s="158" t="s">
        <v>235</v>
      </c>
      <c r="C125" s="106">
        <v>0</v>
      </c>
      <c r="D125" s="106">
        <v>9</v>
      </c>
      <c r="E125" s="106">
        <v>8</v>
      </c>
      <c r="F125" s="226">
        <f>IFERROR(Table792226894100118130136[[#This Row],[Persons]]/$C$23,"-")</f>
        <v>1.8783752054472881E-3</v>
      </c>
      <c r="G125" s="106" t="s">
        <v>94</v>
      </c>
      <c r="H125" s="54" t="str">
        <f t="shared" si="15"/>
        <v>..</v>
      </c>
    </row>
    <row r="126" spans="2:8">
      <c r="B126" s="155" t="s">
        <v>54</v>
      </c>
      <c r="C126" s="103">
        <v>0</v>
      </c>
      <c r="D126" s="103">
        <v>5</v>
      </c>
      <c r="E126" s="103">
        <v>8</v>
      </c>
      <c r="F126" s="224">
        <f>IFERROR(Table792226894100118130136[[#This Row],[Persons]]/$C$23,"-")</f>
        <v>1.8783752054472881E-3</v>
      </c>
      <c r="G126" s="106" t="s">
        <v>94</v>
      </c>
      <c r="H126" s="64" t="str">
        <f t="shared" si="15"/>
        <v>..</v>
      </c>
    </row>
    <row r="127" spans="2:8">
      <c r="B127" s="158" t="s">
        <v>214</v>
      </c>
      <c r="C127" s="106">
        <v>0</v>
      </c>
      <c r="D127" s="106">
        <v>0</v>
      </c>
      <c r="E127" s="106">
        <v>8</v>
      </c>
      <c r="F127" s="226">
        <f>IFERROR(Table792226894100118130136[[#This Row],[Persons]]/$C$23,"-")</f>
        <v>1.8783752054472881E-3</v>
      </c>
      <c r="G127" s="106" t="s">
        <v>94</v>
      </c>
      <c r="H127" s="54" t="str">
        <f t="shared" si="15"/>
        <v>..</v>
      </c>
    </row>
    <row r="128" spans="2:8">
      <c r="B128" s="158" t="s">
        <v>127</v>
      </c>
      <c r="C128" s="106">
        <f>Table792226894100118130136[[#Totals],[Males]]-SUM(C118:C127)</f>
        <v>55</v>
      </c>
      <c r="D128" s="106">
        <f>Table792226894100118130136[[#Totals],[Females]]-SUM(D118:D127)</f>
        <v>33</v>
      </c>
      <c r="E128" s="106">
        <f>Table792226894100118130136[[#Totals],[Persons]]-SUM(E118:E127)</f>
        <v>85</v>
      </c>
      <c r="F128" s="226">
        <f>IFERROR(Table792226894100118130136[[#This Row],[Persons]]/$C$23,"-")</f>
        <v>1.9957736557877435E-2</v>
      </c>
      <c r="G128" s="106" t="s">
        <v>94</v>
      </c>
      <c r="H128" s="54" t="str">
        <f t="shared" si="15"/>
        <v>..</v>
      </c>
    </row>
    <row r="129" spans="2:9">
      <c r="B129" s="284" t="s">
        <v>872</v>
      </c>
      <c r="C129" s="175" t="s">
        <v>236</v>
      </c>
      <c r="D129" s="175" t="s">
        <v>237</v>
      </c>
      <c r="E129" s="176" t="s">
        <v>238</v>
      </c>
      <c r="F129" s="177" t="s">
        <v>22</v>
      </c>
      <c r="G129" s="176">
        <f>E23</f>
        <v>4449</v>
      </c>
      <c r="H129" s="603">
        <f>(Table792226894100118130136[[#Totals],[Persons]]-Table792226894100118130136[[#Totals],[2011 Census]])/Table792226894100118130136[[#Totals],[2011 Census]]</f>
        <v>-4.2706226118228816E-2</v>
      </c>
    </row>
    <row r="130" spans="2:9">
      <c r="B130" s="389" t="s">
        <v>873</v>
      </c>
      <c r="C130" s="180"/>
      <c r="D130" s="180"/>
      <c r="E130" s="180"/>
      <c r="F130" s="181"/>
      <c r="G130" s="180"/>
      <c r="H130" s="180"/>
      <c r="I130" s="182"/>
    </row>
    <row r="131" spans="2:9">
      <c r="B131" s="183"/>
      <c r="C131" s="183"/>
      <c r="D131" s="183"/>
      <c r="E131" s="183"/>
      <c r="F131" s="174"/>
      <c r="G131" s="553"/>
      <c r="H131" s="183"/>
      <c r="I131" s="183"/>
    </row>
    <row r="132" spans="2:9" ht="23.25">
      <c r="B132" s="127" t="s">
        <v>803</v>
      </c>
    </row>
    <row r="133" spans="2:9" ht="15.75">
      <c r="B133" s="150" t="s">
        <v>825</v>
      </c>
    </row>
    <row r="134" spans="2:9">
      <c r="B134" s="140" t="s">
        <v>36</v>
      </c>
      <c r="C134" s="145" t="s">
        <v>42</v>
      </c>
      <c r="D134" s="145" t="s">
        <v>43</v>
      </c>
      <c r="E134" s="145" t="s">
        <v>44</v>
      </c>
      <c r="F134" s="145" t="s">
        <v>45</v>
      </c>
      <c r="G134" s="145" t="s">
        <v>46</v>
      </c>
      <c r="H134" s="145" t="s">
        <v>28</v>
      </c>
    </row>
    <row r="135" spans="2:9">
      <c r="B135" s="185" t="s">
        <v>95</v>
      </c>
      <c r="C135" s="186"/>
      <c r="D135" s="186"/>
      <c r="E135" s="186"/>
      <c r="F135" s="186"/>
      <c r="G135" s="186"/>
      <c r="H135" s="187"/>
    </row>
    <row r="136" spans="2:9">
      <c r="B136" s="188" t="s">
        <v>48</v>
      </c>
      <c r="C136" s="238">
        <v>840</v>
      </c>
      <c r="D136" s="238">
        <v>803</v>
      </c>
      <c r="E136" s="238">
        <v>1214</v>
      </c>
      <c r="F136" s="238">
        <v>639</v>
      </c>
      <c r="G136" s="238">
        <v>87</v>
      </c>
      <c r="H136" s="554">
        <v>3587</v>
      </c>
    </row>
    <row r="137" spans="2:9">
      <c r="B137" s="191" t="s">
        <v>49</v>
      </c>
      <c r="C137" s="241">
        <v>260</v>
      </c>
      <c r="D137" s="241">
        <v>27</v>
      </c>
      <c r="E137" s="241">
        <v>50</v>
      </c>
      <c r="F137" s="241">
        <v>21</v>
      </c>
      <c r="G137" s="241">
        <v>13</v>
      </c>
      <c r="H137" s="203">
        <v>379</v>
      </c>
    </row>
    <row r="138" spans="2:9">
      <c r="B138" s="188" t="s">
        <v>50</v>
      </c>
      <c r="C138" s="238">
        <v>1155</v>
      </c>
      <c r="D138" s="238">
        <v>853</v>
      </c>
      <c r="E138" s="238">
        <v>1298</v>
      </c>
      <c r="F138" s="238">
        <v>675</v>
      </c>
      <c r="G138" s="238">
        <v>107</v>
      </c>
      <c r="H138" s="554">
        <v>4085</v>
      </c>
    </row>
    <row r="139" spans="2:9">
      <c r="B139" s="194" t="s">
        <v>51</v>
      </c>
      <c r="C139" s="96">
        <f>IFERROR(C137/$H$138,"-")</f>
        <v>6.3647490820073441E-2</v>
      </c>
      <c r="D139" s="96">
        <f t="shared" ref="D139:H139" si="16">IFERROR(D137/$H$138,"-")</f>
        <v>6.6095471236230106E-3</v>
      </c>
      <c r="E139" s="96">
        <f t="shared" si="16"/>
        <v>1.2239902080783354E-2</v>
      </c>
      <c r="F139" s="96">
        <f t="shared" si="16"/>
        <v>5.1407588739290086E-3</v>
      </c>
      <c r="G139" s="96">
        <f t="shared" si="16"/>
        <v>3.1823745410036719E-3</v>
      </c>
      <c r="H139" s="97">
        <f t="shared" si="16"/>
        <v>9.2778457772337827E-2</v>
      </c>
    </row>
    <row r="140" spans="2:9">
      <c r="B140" s="195" t="s">
        <v>97</v>
      </c>
      <c r="C140" s="196"/>
      <c r="D140" s="196"/>
      <c r="E140" s="196"/>
      <c r="F140" s="196"/>
      <c r="G140" s="196"/>
      <c r="H140" s="197"/>
    </row>
    <row r="141" spans="2:9">
      <c r="B141" s="191" t="s">
        <v>48</v>
      </c>
      <c r="C141" s="241">
        <v>0</v>
      </c>
      <c r="D141" s="241">
        <v>3</v>
      </c>
      <c r="E141" s="241">
        <v>3</v>
      </c>
      <c r="F141" s="241">
        <v>3</v>
      </c>
      <c r="G141" s="241">
        <v>0</v>
      </c>
      <c r="H141" s="203">
        <v>9</v>
      </c>
    </row>
    <row r="142" spans="2:9">
      <c r="B142" s="188" t="s">
        <v>49</v>
      </c>
      <c r="C142" s="238">
        <v>4</v>
      </c>
      <c r="D142" s="238">
        <v>0</v>
      </c>
      <c r="E142" s="238">
        <v>0</v>
      </c>
      <c r="F142" s="238">
        <v>0</v>
      </c>
      <c r="G142" s="238">
        <v>0</v>
      </c>
      <c r="H142" s="554">
        <v>4</v>
      </c>
    </row>
    <row r="143" spans="2:9">
      <c r="B143" s="191" t="s">
        <v>50</v>
      </c>
      <c r="C143" s="241">
        <v>4</v>
      </c>
      <c r="D143" s="241">
        <v>3</v>
      </c>
      <c r="E143" s="241">
        <v>8</v>
      </c>
      <c r="F143" s="241">
        <v>3</v>
      </c>
      <c r="G143" s="241">
        <v>0</v>
      </c>
      <c r="H143" s="203">
        <v>16</v>
      </c>
    </row>
    <row r="144" spans="2:9">
      <c r="B144" s="202" t="s">
        <v>51</v>
      </c>
      <c r="C144" s="101">
        <f>IFERROR(C142/$H$143,"-")</f>
        <v>0.25</v>
      </c>
      <c r="D144" s="101">
        <f t="shared" ref="D144:H144" si="17">IFERROR(D142/$H$143,"-")</f>
        <v>0</v>
      </c>
      <c r="E144" s="101">
        <f t="shared" si="17"/>
        <v>0</v>
      </c>
      <c r="F144" s="101">
        <f t="shared" si="17"/>
        <v>0</v>
      </c>
      <c r="G144" s="101">
        <f t="shared" si="17"/>
        <v>0</v>
      </c>
      <c r="H144" s="99">
        <f t="shared" si="17"/>
        <v>0.25</v>
      </c>
    </row>
    <row r="145" spans="2:8">
      <c r="B145" s="185" t="s">
        <v>53</v>
      </c>
      <c r="C145" s="186"/>
      <c r="D145" s="186"/>
      <c r="E145" s="186"/>
      <c r="F145" s="186"/>
      <c r="G145" s="186"/>
      <c r="H145" s="203"/>
    </row>
    <row r="146" spans="2:8">
      <c r="B146" s="188" t="s">
        <v>48</v>
      </c>
      <c r="C146" s="238">
        <v>0</v>
      </c>
      <c r="D146" s="238">
        <v>0</v>
      </c>
      <c r="E146" s="238">
        <v>7</v>
      </c>
      <c r="F146" s="239">
        <v>0</v>
      </c>
      <c r="G146" s="434">
        <v>0</v>
      </c>
      <c r="H146" s="554">
        <v>6</v>
      </c>
    </row>
    <row r="147" spans="2:8">
      <c r="B147" s="191" t="s">
        <v>49</v>
      </c>
      <c r="C147" s="241">
        <v>0</v>
      </c>
      <c r="D147" s="241">
        <v>0</v>
      </c>
      <c r="E147" s="241">
        <v>0</v>
      </c>
      <c r="F147" s="242">
        <v>0</v>
      </c>
      <c r="G147" s="241">
        <v>0</v>
      </c>
      <c r="H147" s="203">
        <v>5</v>
      </c>
    </row>
    <row r="148" spans="2:8">
      <c r="B148" s="188" t="s">
        <v>50</v>
      </c>
      <c r="C148" s="238">
        <v>0</v>
      </c>
      <c r="D148" s="238">
        <v>0</v>
      </c>
      <c r="E148" s="238">
        <v>4</v>
      </c>
      <c r="F148" s="238">
        <v>3</v>
      </c>
      <c r="G148" s="435">
        <v>0</v>
      </c>
      <c r="H148" s="554">
        <v>10</v>
      </c>
    </row>
    <row r="149" spans="2:8">
      <c r="B149" s="194" t="s">
        <v>51</v>
      </c>
      <c r="C149" s="96">
        <f>IFERROR(C147/$H$148,"-")</f>
        <v>0</v>
      </c>
      <c r="D149" s="96">
        <f t="shared" ref="D149:H149" si="18">IFERROR(D147/$H$148,"-")</f>
        <v>0</v>
      </c>
      <c r="E149" s="96">
        <f t="shared" si="18"/>
        <v>0</v>
      </c>
      <c r="F149" s="96">
        <f t="shared" si="18"/>
        <v>0</v>
      </c>
      <c r="G149" s="96">
        <f t="shared" si="18"/>
        <v>0</v>
      </c>
      <c r="H149" s="97">
        <f t="shared" si="18"/>
        <v>0.5</v>
      </c>
    </row>
    <row r="150" spans="2:8">
      <c r="B150" s="195" t="s">
        <v>105</v>
      </c>
      <c r="C150" s="196"/>
      <c r="D150" s="196"/>
      <c r="E150" s="196"/>
      <c r="F150" s="196"/>
      <c r="G150" s="196"/>
      <c r="H150" s="197"/>
    </row>
    <row r="151" spans="2:8">
      <c r="B151" s="191" t="s">
        <v>48</v>
      </c>
      <c r="C151" s="241">
        <v>0</v>
      </c>
      <c r="D151" s="241">
        <v>0</v>
      </c>
      <c r="E151" s="241">
        <v>3</v>
      </c>
      <c r="F151" s="241">
        <v>0</v>
      </c>
      <c r="G151" s="241">
        <v>0</v>
      </c>
      <c r="H151" s="203">
        <v>6</v>
      </c>
    </row>
    <row r="152" spans="2:8">
      <c r="B152" s="188" t="s">
        <v>49</v>
      </c>
      <c r="C152" s="238">
        <v>0</v>
      </c>
      <c r="D152" s="238">
        <v>0</v>
      </c>
      <c r="E152" s="238">
        <v>0</v>
      </c>
      <c r="F152" s="238">
        <v>0</v>
      </c>
      <c r="G152" s="238">
        <v>0</v>
      </c>
      <c r="H152" s="554">
        <v>0</v>
      </c>
    </row>
    <row r="153" spans="2:8">
      <c r="B153" s="191" t="s">
        <v>50</v>
      </c>
      <c r="C153" s="241">
        <v>0</v>
      </c>
      <c r="D153" s="241">
        <v>0</v>
      </c>
      <c r="E153" s="241">
        <v>6</v>
      </c>
      <c r="F153" s="241">
        <v>0</v>
      </c>
      <c r="G153" s="241">
        <v>0</v>
      </c>
      <c r="H153" s="203">
        <v>10</v>
      </c>
    </row>
    <row r="154" spans="2:8">
      <c r="B154" s="202" t="s">
        <v>51</v>
      </c>
      <c r="C154" s="98">
        <f>IFERROR(C152/$H$153,"-")</f>
        <v>0</v>
      </c>
      <c r="D154" s="98">
        <f t="shared" ref="D154:H154" si="19">IFERROR(D152/$H$153,"-")</f>
        <v>0</v>
      </c>
      <c r="E154" s="98">
        <f t="shared" si="19"/>
        <v>0</v>
      </c>
      <c r="F154" s="98">
        <f t="shared" si="19"/>
        <v>0</v>
      </c>
      <c r="G154" s="98">
        <f t="shared" si="19"/>
        <v>0</v>
      </c>
      <c r="H154" s="100">
        <f t="shared" si="19"/>
        <v>0</v>
      </c>
    </row>
    <row r="155" spans="2:8">
      <c r="B155" s="185" t="s">
        <v>146</v>
      </c>
      <c r="C155" s="186"/>
      <c r="D155" s="186"/>
      <c r="E155" s="186"/>
      <c r="F155" s="186"/>
      <c r="G155" s="186"/>
      <c r="H155" s="187"/>
    </row>
    <row r="156" spans="2:8">
      <c r="B156" s="188" t="s">
        <v>48</v>
      </c>
      <c r="C156" s="238">
        <v>0</v>
      </c>
      <c r="D156" s="238">
        <v>0</v>
      </c>
      <c r="E156" s="238">
        <v>0</v>
      </c>
      <c r="F156" s="238">
        <v>3</v>
      </c>
      <c r="G156" s="238">
        <v>0</v>
      </c>
      <c r="H156" s="554">
        <v>11</v>
      </c>
    </row>
    <row r="157" spans="2:8">
      <c r="B157" s="191" t="s">
        <v>49</v>
      </c>
      <c r="C157" s="241">
        <v>0</v>
      </c>
      <c r="D157" s="241">
        <v>0</v>
      </c>
      <c r="E157" s="241">
        <v>0</v>
      </c>
      <c r="F157" s="241">
        <v>0</v>
      </c>
      <c r="G157" s="241">
        <v>0</v>
      </c>
      <c r="H157" s="203">
        <v>0</v>
      </c>
    </row>
    <row r="158" spans="2:8">
      <c r="B158" s="188" t="s">
        <v>50</v>
      </c>
      <c r="C158" s="238">
        <v>4</v>
      </c>
      <c r="D158" s="238">
        <v>0</v>
      </c>
      <c r="E158" s="238">
        <v>0</v>
      </c>
      <c r="F158" s="238">
        <v>3</v>
      </c>
      <c r="G158" s="238">
        <v>0</v>
      </c>
      <c r="H158" s="554">
        <v>12</v>
      </c>
    </row>
    <row r="159" spans="2:8">
      <c r="B159" s="194" t="s">
        <v>51</v>
      </c>
      <c r="C159" s="96">
        <f t="shared" ref="C159:H159" si="20">IFERROR(C157/$H$158,"-")</f>
        <v>0</v>
      </c>
      <c r="D159" s="96">
        <f t="shared" si="20"/>
        <v>0</v>
      </c>
      <c r="E159" s="96">
        <f t="shared" si="20"/>
        <v>0</v>
      </c>
      <c r="F159" s="96">
        <f t="shared" si="20"/>
        <v>0</v>
      </c>
      <c r="G159" s="96">
        <f t="shared" si="20"/>
        <v>0</v>
      </c>
      <c r="H159" s="97">
        <f t="shared" si="20"/>
        <v>0</v>
      </c>
    </row>
    <row r="160" spans="2:8">
      <c r="B160" s="195" t="s">
        <v>114</v>
      </c>
      <c r="C160" s="196"/>
      <c r="D160" s="196"/>
      <c r="E160" s="196"/>
      <c r="F160" s="196"/>
      <c r="G160" s="196"/>
      <c r="H160" s="197"/>
    </row>
    <row r="161" spans="2:10">
      <c r="B161" s="191" t="s">
        <v>48</v>
      </c>
      <c r="C161" s="241">
        <v>855</v>
      </c>
      <c r="D161" s="241">
        <v>815</v>
      </c>
      <c r="E161" s="241">
        <v>1271</v>
      </c>
      <c r="F161" s="241">
        <v>663</v>
      </c>
      <c r="G161" s="241">
        <v>94</v>
      </c>
      <c r="H161" s="203">
        <v>3695</v>
      </c>
    </row>
    <row r="162" spans="2:10">
      <c r="B162" s="188" t="s">
        <v>49</v>
      </c>
      <c r="C162" s="238">
        <v>268</v>
      </c>
      <c r="D162" s="238">
        <v>27</v>
      </c>
      <c r="E162" s="238">
        <v>59</v>
      </c>
      <c r="F162" s="238">
        <v>28</v>
      </c>
      <c r="G162" s="238">
        <v>13</v>
      </c>
      <c r="H162" s="554">
        <v>396</v>
      </c>
    </row>
    <row r="163" spans="2:10">
      <c r="B163" s="191" t="s">
        <v>50</v>
      </c>
      <c r="C163" s="241">
        <v>1176</v>
      </c>
      <c r="D163" s="241">
        <v>858</v>
      </c>
      <c r="E163" s="241">
        <v>1364</v>
      </c>
      <c r="F163" s="241">
        <v>703</v>
      </c>
      <c r="G163" s="241">
        <v>108</v>
      </c>
      <c r="H163" s="203">
        <v>4213</v>
      </c>
    </row>
    <row r="164" spans="2:10">
      <c r="B164" s="202" t="s">
        <v>51</v>
      </c>
      <c r="C164" s="101">
        <f>IFERROR(C162/$H$163,"-")</f>
        <v>6.3612627581295988E-2</v>
      </c>
      <c r="D164" s="101">
        <f t="shared" ref="D164:H164" si="21">IFERROR(D162/$H$163,"-")</f>
        <v>6.4087348682648941E-3</v>
      </c>
      <c r="E164" s="101">
        <f t="shared" si="21"/>
        <v>1.4004272489912177E-2</v>
      </c>
      <c r="F164" s="101">
        <f t="shared" si="21"/>
        <v>6.6460954189413723E-3</v>
      </c>
      <c r="G164" s="101">
        <f t="shared" si="21"/>
        <v>3.0856871587942084E-3</v>
      </c>
      <c r="H164" s="99">
        <f t="shared" si="21"/>
        <v>9.3994778067885115E-2</v>
      </c>
    </row>
    <row r="166" spans="2:10" ht="23.25">
      <c r="B166" s="127" t="s">
        <v>804</v>
      </c>
    </row>
    <row r="167" spans="2:10" ht="15.75">
      <c r="B167" s="150" t="s">
        <v>826</v>
      </c>
      <c r="J167" s="555"/>
    </row>
    <row r="168" spans="2:10" ht="25.5">
      <c r="B168" s="1162"/>
      <c r="C168" s="1269" t="s">
        <v>125</v>
      </c>
      <c r="D168" s="1270"/>
      <c r="E168" s="1270"/>
      <c r="F168" s="1271"/>
      <c r="G168" s="1143" t="s">
        <v>10</v>
      </c>
      <c r="H168" s="1144" t="s">
        <v>58</v>
      </c>
      <c r="I168" s="1145" t="s">
        <v>70</v>
      </c>
    </row>
    <row r="169" spans="2:10" ht="63.75">
      <c r="B169" s="560" t="s">
        <v>879</v>
      </c>
      <c r="C169" s="214" t="s">
        <v>61</v>
      </c>
      <c r="D169" s="214" t="s">
        <v>60</v>
      </c>
      <c r="E169" s="214" t="s">
        <v>59</v>
      </c>
      <c r="F169" s="609" t="s">
        <v>848</v>
      </c>
      <c r="G169" s="214" t="s">
        <v>122</v>
      </c>
      <c r="H169" s="214" t="s">
        <v>641</v>
      </c>
      <c r="I169" s="1146" t="s">
        <v>742</v>
      </c>
    </row>
    <row r="170" spans="2:10">
      <c r="B170" s="1163" t="s">
        <v>118</v>
      </c>
      <c r="C170" s="686">
        <v>4087</v>
      </c>
      <c r="D170" s="686">
        <v>0</v>
      </c>
      <c r="E170" s="686">
        <v>7</v>
      </c>
      <c r="F170" s="686">
        <v>39</v>
      </c>
      <c r="G170" s="686">
        <v>0</v>
      </c>
      <c r="H170" s="686">
        <v>19</v>
      </c>
      <c r="I170" s="1164">
        <v>4155</v>
      </c>
    </row>
    <row r="171" spans="2:10">
      <c r="B171" s="1163" t="s">
        <v>116</v>
      </c>
      <c r="C171" s="686">
        <v>559</v>
      </c>
      <c r="D171" s="686">
        <v>5</v>
      </c>
      <c r="E171" s="686">
        <v>94</v>
      </c>
      <c r="F171" s="686">
        <v>14</v>
      </c>
      <c r="G171" s="686">
        <v>14</v>
      </c>
      <c r="H171" s="686">
        <v>27</v>
      </c>
      <c r="I171" s="1165">
        <v>713</v>
      </c>
    </row>
    <row r="172" spans="2:10">
      <c r="B172" s="1163" t="s">
        <v>115</v>
      </c>
      <c r="C172" s="686">
        <v>249</v>
      </c>
      <c r="D172" s="686">
        <v>20</v>
      </c>
      <c r="E172" s="686">
        <v>50</v>
      </c>
      <c r="F172" s="686">
        <v>10</v>
      </c>
      <c r="G172" s="686">
        <v>51</v>
      </c>
      <c r="H172" s="686">
        <v>15</v>
      </c>
      <c r="I172" s="1165">
        <v>390</v>
      </c>
    </row>
    <row r="173" spans="2:10">
      <c r="B173" s="1163" t="s">
        <v>117</v>
      </c>
      <c r="C173" s="686">
        <v>102</v>
      </c>
      <c r="D173" s="686">
        <v>5</v>
      </c>
      <c r="E173" s="686">
        <v>16</v>
      </c>
      <c r="F173" s="686">
        <v>4</v>
      </c>
      <c r="G173" s="686">
        <v>17</v>
      </c>
      <c r="H173" s="686">
        <v>0</v>
      </c>
      <c r="I173" s="1165">
        <v>143</v>
      </c>
    </row>
    <row r="174" spans="2:10">
      <c r="B174" s="1163" t="s">
        <v>119</v>
      </c>
      <c r="C174" s="686">
        <v>64</v>
      </c>
      <c r="D174" s="686">
        <v>0</v>
      </c>
      <c r="E174" s="686">
        <v>8</v>
      </c>
      <c r="F174" s="686">
        <v>5</v>
      </c>
      <c r="G174" s="686">
        <v>23</v>
      </c>
      <c r="H174" s="686">
        <v>5</v>
      </c>
      <c r="I174" s="1165">
        <v>102</v>
      </c>
    </row>
    <row r="175" spans="2:10">
      <c r="B175" s="1163" t="s">
        <v>97</v>
      </c>
      <c r="C175" s="686">
        <v>39</v>
      </c>
      <c r="D175" s="686">
        <v>9</v>
      </c>
      <c r="E175" s="686">
        <v>7</v>
      </c>
      <c r="F175" s="686">
        <v>0</v>
      </c>
      <c r="G175" s="686">
        <v>23</v>
      </c>
      <c r="H175" s="686">
        <v>0</v>
      </c>
      <c r="I175" s="1165">
        <v>76</v>
      </c>
    </row>
    <row r="176" spans="2:10">
      <c r="B176" s="1163" t="s">
        <v>244</v>
      </c>
      <c r="C176" s="686">
        <v>22</v>
      </c>
      <c r="D176" s="686">
        <v>0</v>
      </c>
      <c r="E176" s="686">
        <v>0</v>
      </c>
      <c r="F176" s="686">
        <v>0</v>
      </c>
      <c r="G176" s="686">
        <v>0</v>
      </c>
      <c r="H176" s="686">
        <v>0</v>
      </c>
      <c r="I176" s="1165">
        <v>24</v>
      </c>
    </row>
    <row r="177" spans="2:9">
      <c r="B177" s="1163" t="s">
        <v>111</v>
      </c>
      <c r="C177" s="686">
        <v>4</v>
      </c>
      <c r="D177" s="686">
        <v>5</v>
      </c>
      <c r="E177" s="686">
        <v>5</v>
      </c>
      <c r="F177" s="686">
        <v>0</v>
      </c>
      <c r="G177" s="686">
        <v>8</v>
      </c>
      <c r="H177" s="686">
        <v>0</v>
      </c>
      <c r="I177" s="1165">
        <v>23</v>
      </c>
    </row>
    <row r="178" spans="2:9">
      <c r="B178" s="1163" t="s">
        <v>98</v>
      </c>
      <c r="C178" s="686">
        <v>3</v>
      </c>
      <c r="D178" s="686">
        <v>3</v>
      </c>
      <c r="E178" s="686">
        <v>4</v>
      </c>
      <c r="F178" s="686">
        <v>0</v>
      </c>
      <c r="G178" s="686">
        <v>4</v>
      </c>
      <c r="H178" s="686">
        <v>0</v>
      </c>
      <c r="I178" s="1165">
        <v>19</v>
      </c>
    </row>
    <row r="179" spans="2:9">
      <c r="B179" s="1166" t="s">
        <v>247</v>
      </c>
      <c r="C179" s="1167">
        <v>0</v>
      </c>
      <c r="D179" s="1167">
        <v>0</v>
      </c>
      <c r="E179" s="1167">
        <v>0</v>
      </c>
      <c r="F179" s="1167">
        <v>0</v>
      </c>
      <c r="G179" s="1167">
        <v>6</v>
      </c>
      <c r="H179" s="1167">
        <v>0</v>
      </c>
      <c r="I179" s="1168">
        <v>12</v>
      </c>
    </row>
    <row r="181" spans="2:9" ht="23.25">
      <c r="B181" s="127" t="s">
        <v>805</v>
      </c>
    </row>
    <row r="182" spans="2:9" ht="15.75">
      <c r="B182" s="150" t="s">
        <v>332</v>
      </c>
    </row>
    <row r="183" spans="2:9" ht="25.5">
      <c r="B183" s="173" t="s">
        <v>64</v>
      </c>
      <c r="C183" s="222" t="s">
        <v>37</v>
      </c>
      <c r="D183" s="222" t="s">
        <v>38</v>
      </c>
      <c r="E183" s="222" t="s">
        <v>6</v>
      </c>
      <c r="F183" s="222" t="s">
        <v>1</v>
      </c>
      <c r="G183" s="223" t="s">
        <v>7</v>
      </c>
      <c r="H183" s="222" t="s">
        <v>65</v>
      </c>
      <c r="I183" s="222" t="s">
        <v>8</v>
      </c>
    </row>
    <row r="184" spans="2:9">
      <c r="B184" s="155" t="s">
        <v>153</v>
      </c>
      <c r="C184" s="103">
        <v>793</v>
      </c>
      <c r="D184" s="103">
        <v>748</v>
      </c>
      <c r="E184" s="103">
        <v>1548</v>
      </c>
      <c r="F184" s="224">
        <f>IFERROR(Table792226811961021081141011141517[[#This Row],[Persons]]/$C$15,"..")</f>
        <v>0.25</v>
      </c>
      <c r="G184" s="228">
        <v>1872</v>
      </c>
      <c r="H184" s="103">
        <f>IFERROR(Table792226811961021081141011141517[[#This Row],[Persons]]-Table792226811961021081141011141517[[#This Row],[2011 Census]],"..")</f>
        <v>-324</v>
      </c>
      <c r="I184" s="64">
        <f>IFERROR((Table792226811961021081141011141517[[#This Row],[Persons]]-Table792226811961021081141011141517[[#This Row],[2011 Census]])/Table792226811961021081141011141517[[#This Row],[2011 Census]],"..")</f>
        <v>-0.17307692307692307</v>
      </c>
    </row>
    <row r="185" spans="2:9">
      <c r="B185" s="158" t="s">
        <v>149</v>
      </c>
      <c r="C185" s="106">
        <v>726</v>
      </c>
      <c r="D185" s="106">
        <v>664</v>
      </c>
      <c r="E185" s="106">
        <v>1384</v>
      </c>
      <c r="F185" s="226">
        <f>IFERROR(Table792226811961021081141011141517[[#This Row],[Persons]]/$C$15,"..")</f>
        <v>0.22351421188630491</v>
      </c>
      <c r="G185" s="227">
        <v>899</v>
      </c>
      <c r="H185" s="106">
        <f>IFERROR(Table792226811961021081141011141517[[#This Row],[Persons]]-Table792226811961021081141011141517[[#This Row],[2011 Census]],"..")</f>
        <v>485</v>
      </c>
      <c r="I185" s="54">
        <f>IFERROR((Table792226811961021081141011141517[[#This Row],[Persons]]-Table792226811961021081141011141517[[#This Row],[2011 Census]])/Table792226811961021081141011141517[[#This Row],[2011 Census]],"..")</f>
        <v>0.53948832035595107</v>
      </c>
    </row>
    <row r="186" spans="2:9">
      <c r="B186" s="155" t="s">
        <v>164</v>
      </c>
      <c r="C186" s="103">
        <v>335</v>
      </c>
      <c r="D186" s="103">
        <v>291</v>
      </c>
      <c r="E186" s="103">
        <v>621</v>
      </c>
      <c r="F186" s="224">
        <f>IFERROR(Table792226811961021081141011141517[[#This Row],[Persons]]/$C$15,"..")</f>
        <v>0.1002906976744186</v>
      </c>
      <c r="G186" s="228">
        <v>916</v>
      </c>
      <c r="H186" s="103">
        <f>IFERROR(Table792226811961021081141011141517[[#This Row],[Persons]]-Table792226811961021081141011141517[[#This Row],[2011 Census]],"..")</f>
        <v>-295</v>
      </c>
      <c r="I186" s="64">
        <f>IFERROR((Table792226811961021081141011141517[[#This Row],[Persons]]-Table792226811961021081141011141517[[#This Row],[2011 Census]])/Table792226811961021081141011141517[[#This Row],[2011 Census]],"..")</f>
        <v>-0.32205240174672489</v>
      </c>
    </row>
    <row r="187" spans="2:9">
      <c r="B187" s="158" t="s">
        <v>151</v>
      </c>
      <c r="C187" s="106">
        <v>259</v>
      </c>
      <c r="D187" s="106">
        <v>266</v>
      </c>
      <c r="E187" s="106">
        <v>521</v>
      </c>
      <c r="F187" s="226">
        <f>IFERROR(Table792226811961021081141011141517[[#This Row],[Persons]]/$C$15,"..")</f>
        <v>8.4140826873385019E-2</v>
      </c>
      <c r="G187" s="227">
        <v>724</v>
      </c>
      <c r="H187" s="106">
        <f>IFERROR(Table792226811961021081141011141517[[#This Row],[Persons]]-Table792226811961021081141011141517[[#This Row],[2011 Census]],"..")</f>
        <v>-203</v>
      </c>
      <c r="I187" s="54">
        <f>IFERROR((Table792226811961021081141011141517[[#This Row],[Persons]]-Table792226811961021081141011141517[[#This Row],[2011 Census]])/Table792226811961021081141011141517[[#This Row],[2011 Census]],"..")</f>
        <v>-0.28038674033149169</v>
      </c>
    </row>
    <row r="188" spans="2:9">
      <c r="B188" s="155" t="s">
        <v>150</v>
      </c>
      <c r="C188" s="103">
        <v>183</v>
      </c>
      <c r="D188" s="103">
        <v>233</v>
      </c>
      <c r="E188" s="103">
        <v>416</v>
      </c>
      <c r="F188" s="224">
        <f>IFERROR(Table792226811961021081141011141517[[#This Row],[Persons]]/$C$15,"..")</f>
        <v>6.7183462532299745E-2</v>
      </c>
      <c r="G188" s="228">
        <v>529</v>
      </c>
      <c r="H188" s="103">
        <f>IFERROR(Table792226811961021081141011141517[[#This Row],[Persons]]-Table792226811961021081141011141517[[#This Row],[2011 Census]],"..")</f>
        <v>-113</v>
      </c>
      <c r="I188" s="64">
        <f>IFERROR((Table792226811961021081141011141517[[#This Row],[Persons]]-Table792226811961021081141011141517[[#This Row],[2011 Census]])/Table792226811961021081141011141517[[#This Row],[2011 Census]],"..")</f>
        <v>-0.21361058601134217</v>
      </c>
    </row>
    <row r="189" spans="2:9">
      <c r="B189" s="158" t="s">
        <v>162</v>
      </c>
      <c r="C189" s="106">
        <v>59</v>
      </c>
      <c r="D189" s="106">
        <v>54</v>
      </c>
      <c r="E189" s="106">
        <v>110</v>
      </c>
      <c r="F189" s="226">
        <f>IFERROR(Table792226811961021081141011141517[[#This Row],[Persons]]/$C$15,"..")</f>
        <v>1.776485788113695E-2</v>
      </c>
      <c r="G189" s="227">
        <v>0</v>
      </c>
      <c r="H189" s="106">
        <f>IFERROR(Table792226811961021081141011141517[[#This Row],[Persons]]-Table792226811961021081141011141517[[#This Row],[2011 Census]],"..")</f>
        <v>110</v>
      </c>
      <c r="I189" s="54" t="str">
        <f>IFERROR((Table792226811961021081141011141517[[#This Row],[Persons]]-Table792226811961021081141011141517[[#This Row],[2011 Census]])/Table792226811961021081141011141517[[#This Row],[2011 Census]],"..")</f>
        <v>..</v>
      </c>
    </row>
    <row r="190" spans="2:9">
      <c r="B190" s="155" t="s">
        <v>156</v>
      </c>
      <c r="C190" s="103">
        <v>19</v>
      </c>
      <c r="D190" s="103">
        <v>21</v>
      </c>
      <c r="E190" s="103">
        <v>35</v>
      </c>
      <c r="F190" s="224">
        <f>IFERROR(Table792226811961021081141011141517[[#This Row],[Persons]]/$C$15,"..")</f>
        <v>5.6524547803617573E-3</v>
      </c>
      <c r="G190" s="228">
        <v>26</v>
      </c>
      <c r="H190" s="103">
        <f>IFERROR(Table792226811961021081141011141517[[#This Row],[Persons]]-Table792226811961021081141011141517[[#This Row],[2011 Census]],"..")</f>
        <v>9</v>
      </c>
      <c r="I190" s="64">
        <f>IFERROR((Table792226811961021081141011141517[[#This Row],[Persons]]-Table792226811961021081141011141517[[#This Row],[2011 Census]])/Table792226811961021081141011141517[[#This Row],[2011 Census]],"..")</f>
        <v>0.34615384615384615</v>
      </c>
    </row>
    <row r="191" spans="2:9">
      <c r="B191" s="158" t="s">
        <v>152</v>
      </c>
      <c r="C191" s="106">
        <v>14</v>
      </c>
      <c r="D191" s="106">
        <v>11</v>
      </c>
      <c r="E191" s="106">
        <v>26</v>
      </c>
      <c r="F191" s="226">
        <f>IFERROR(Table792226811961021081141011141517[[#This Row],[Persons]]/$C$15,"..")</f>
        <v>4.1989664082687341E-3</v>
      </c>
      <c r="G191" s="227">
        <v>28</v>
      </c>
      <c r="H191" s="106">
        <f>IFERROR(Table792226811961021081141011141517[[#This Row],[Persons]]-Table792226811961021081141011141517[[#This Row],[2011 Census]],"..")</f>
        <v>-2</v>
      </c>
      <c r="I191" s="54">
        <f>IFERROR((Table792226811961021081141011141517[[#This Row],[Persons]]-Table792226811961021081141011141517[[#This Row],[2011 Census]])/Table792226811961021081141011141517[[#This Row],[2011 Census]],"..")</f>
        <v>-7.1428571428571425E-2</v>
      </c>
    </row>
    <row r="192" spans="2:9">
      <c r="B192" s="155" t="s">
        <v>157</v>
      </c>
      <c r="C192" s="103">
        <v>12</v>
      </c>
      <c r="D192" s="103">
        <v>5</v>
      </c>
      <c r="E192" s="103">
        <v>21</v>
      </c>
      <c r="F192" s="224">
        <f>IFERROR(Table792226811961021081141011141517[[#This Row],[Persons]]/$C$15,"..")</f>
        <v>3.3914728682170542E-3</v>
      </c>
      <c r="G192" s="228">
        <v>22</v>
      </c>
      <c r="H192" s="103">
        <f>IFERROR(Table792226811961021081141011141517[[#This Row],[Persons]]-Table792226811961021081141011141517[[#This Row],[2011 Census]],"..")</f>
        <v>-1</v>
      </c>
      <c r="I192" s="64">
        <f>IFERROR((Table792226811961021081141011141517[[#This Row],[Persons]]-Table792226811961021081141011141517[[#This Row],[2011 Census]])/Table792226811961021081141011141517[[#This Row],[2011 Census]],"..")</f>
        <v>-4.5454545454545456E-2</v>
      </c>
    </row>
    <row r="193" spans="2:9">
      <c r="B193" s="158" t="s">
        <v>166</v>
      </c>
      <c r="C193" s="106">
        <v>3</v>
      </c>
      <c r="D193" s="106">
        <v>6</v>
      </c>
      <c r="E193" s="106">
        <v>13</v>
      </c>
      <c r="F193" s="226">
        <f>IFERROR(Table792226811961021081141011141517[[#This Row],[Persons]]/$C$15,"..")</f>
        <v>2.099483204134367E-3</v>
      </c>
      <c r="G193" s="227">
        <v>0</v>
      </c>
      <c r="H193" s="106">
        <f>IFERROR(Table792226811961021081141011141517[[#This Row],[Persons]]-Table792226811961021081141011141517[[#This Row],[2011 Census]],"..")</f>
        <v>13</v>
      </c>
      <c r="I193" s="54" t="str">
        <f>IFERROR((Table792226811961021081141011141517[[#This Row],[Persons]]-Table792226811961021081141011141517[[#This Row],[2011 Census]])/Table792226811961021081141011141517[[#This Row],[2011 Census]],"..")</f>
        <v>..</v>
      </c>
    </row>
    <row r="194" spans="2:9">
      <c r="B194" s="155" t="s">
        <v>155</v>
      </c>
      <c r="C194" s="103">
        <v>8</v>
      </c>
      <c r="D194" s="103">
        <v>10</v>
      </c>
      <c r="E194" s="103">
        <v>13</v>
      </c>
      <c r="F194" s="224">
        <f>IFERROR(Table792226811961021081141011141517[[#This Row],[Persons]]/$C$15,"..")</f>
        <v>2.099483204134367E-3</v>
      </c>
      <c r="G194" s="228">
        <v>0</v>
      </c>
      <c r="H194" s="103">
        <f>IFERROR(Table792226811961021081141011141517[[#This Row],[Persons]]-Table792226811961021081141011141517[[#This Row],[2011 Census]],"..")</f>
        <v>13</v>
      </c>
      <c r="I194" s="64" t="str">
        <f>IFERROR((Table792226811961021081141011141517[[#This Row],[Persons]]-Table792226811961021081141011141517[[#This Row],[2011 Census]])/Table792226811961021081141011141517[[#This Row],[2011 Census]],"..")</f>
        <v>..</v>
      </c>
    </row>
    <row r="195" spans="2:9">
      <c r="B195" s="158" t="s">
        <v>154</v>
      </c>
      <c r="C195" s="106">
        <v>3</v>
      </c>
      <c r="D195" s="106">
        <v>0</v>
      </c>
      <c r="E195" s="106">
        <v>8</v>
      </c>
      <c r="F195" s="226">
        <f>IFERROR(Table792226811961021081141011141517[[#This Row],[Persons]]/$C$15,"..")</f>
        <v>1.2919896640826874E-3</v>
      </c>
      <c r="G195" s="227">
        <v>0</v>
      </c>
      <c r="H195" s="106">
        <f>IFERROR(Table792226811961021081141011141517[[#This Row],[Persons]]-Table792226811961021081141011141517[[#This Row],[2011 Census]],"..")</f>
        <v>8</v>
      </c>
      <c r="I195" s="54" t="str">
        <f>IFERROR((Table792226811961021081141011141517[[#This Row],[Persons]]-Table792226811961021081141011141517[[#This Row],[2011 Census]])/Table792226811961021081141011141517[[#This Row],[2011 Census]],"..")</f>
        <v>..</v>
      </c>
    </row>
    <row r="196" spans="2:9">
      <c r="B196" s="155" t="s">
        <v>163</v>
      </c>
      <c r="C196" s="103">
        <v>3</v>
      </c>
      <c r="D196" s="103">
        <v>0</v>
      </c>
      <c r="E196" s="103">
        <v>8</v>
      </c>
      <c r="F196" s="224">
        <f>IFERROR(Table792226811961021081141011141517[[#This Row],[Persons]]/$C$15,"..")</f>
        <v>1.2919896640826874E-3</v>
      </c>
      <c r="G196" s="228">
        <v>0</v>
      </c>
      <c r="H196" s="103">
        <f>IFERROR(Table792226811961021081141011141517[[#This Row],[Persons]]-Table792226811961021081141011141517[[#This Row],[2011 Census]],"..")</f>
        <v>8</v>
      </c>
      <c r="I196" s="64" t="str">
        <f>IFERROR((Table792226811961021081141011141517[[#This Row],[Persons]]-Table792226811961021081141011141517[[#This Row],[2011 Census]])/Table792226811961021081141011141517[[#This Row],[2011 Census]],"..")</f>
        <v>..</v>
      </c>
    </row>
    <row r="197" spans="2:9">
      <c r="B197" s="158" t="s">
        <v>158</v>
      </c>
      <c r="C197" s="106">
        <v>0</v>
      </c>
      <c r="D197" s="106">
        <v>0</v>
      </c>
      <c r="E197" s="106">
        <v>4</v>
      </c>
      <c r="F197" s="226">
        <f>IFERROR(Table792226811961021081141011141517[[#This Row],[Persons]]/$C$15,"..")</f>
        <v>6.459948320413437E-4</v>
      </c>
      <c r="G197" s="227">
        <v>13</v>
      </c>
      <c r="H197" s="106">
        <f>IFERROR(Table792226811961021081141011141517[[#This Row],[Persons]]-Table792226811961021081141011141517[[#This Row],[2011 Census]],"..")</f>
        <v>-9</v>
      </c>
      <c r="I197" s="54">
        <f>IFERROR((Table792226811961021081141011141517[[#This Row],[Persons]]-Table792226811961021081141011141517[[#This Row],[2011 Census]])/Table792226811961021081141011141517[[#This Row],[2011 Census]],"..")</f>
        <v>-0.69230769230769229</v>
      </c>
    </row>
    <row r="198" spans="2:9">
      <c r="B198" s="158" t="s">
        <v>161</v>
      </c>
      <c r="C198" s="106">
        <v>0</v>
      </c>
      <c r="D198" s="106">
        <v>0</v>
      </c>
      <c r="E198" s="106">
        <v>4</v>
      </c>
      <c r="F198" s="226">
        <f>IFERROR(Table792226811961021081141011141517[[#This Row],[Persons]]/$C$15,"..")</f>
        <v>6.459948320413437E-4</v>
      </c>
      <c r="G198" s="227">
        <v>12</v>
      </c>
      <c r="H198" s="106">
        <f>IFERROR(Table792226811961021081141011141517[[#This Row],[Persons]]-Table792226811961021081141011141517[[#This Row],[2011 Census]],"..")</f>
        <v>-8</v>
      </c>
      <c r="I198" s="54">
        <f>IFERROR((Table792226811961021081141011141517[[#This Row],[Persons]]-Table792226811961021081141011141517[[#This Row],[2011 Census]])/Table792226811961021081141011141517[[#This Row],[2011 Census]],"..")</f>
        <v>-0.66666666666666663</v>
      </c>
    </row>
    <row r="199" spans="2:9">
      <c r="B199" s="158" t="s">
        <v>167</v>
      </c>
      <c r="C199" s="106">
        <v>3</v>
      </c>
      <c r="D199" s="106">
        <v>0</v>
      </c>
      <c r="E199" s="106">
        <v>3</v>
      </c>
      <c r="F199" s="226">
        <f>IFERROR(Table792226811961021081141011141517[[#This Row],[Persons]]/$C$15,"..")</f>
        <v>4.8449612403100775E-4</v>
      </c>
      <c r="G199" s="227">
        <v>0</v>
      </c>
      <c r="H199" s="106">
        <f>IFERROR(Table792226811961021081141011141517[[#This Row],[Persons]]-Table792226811961021081141011141517[[#This Row],[2011 Census]],"..")</f>
        <v>3</v>
      </c>
      <c r="I199" s="54" t="str">
        <f>IFERROR((Table792226811961021081141011141517[[#This Row],[Persons]]-Table792226811961021081141011141517[[#This Row],[2011 Census]])/Table792226811961021081141011141517[[#This Row],[2011 Census]],"..")</f>
        <v>..</v>
      </c>
    </row>
    <row r="200" spans="2:9">
      <c r="B200" s="158" t="s">
        <v>327</v>
      </c>
      <c r="C200" s="106" t="s">
        <v>327</v>
      </c>
      <c r="D200" s="106" t="s">
        <v>327</v>
      </c>
      <c r="E200" s="106" t="s">
        <v>327</v>
      </c>
      <c r="F200" s="226" t="str">
        <f>IFERROR(Table792226811961021081141011141517[[#This Row],[Persons]]/$C$15,"..")</f>
        <v>..</v>
      </c>
      <c r="G200" s="227" t="s">
        <v>94</v>
      </c>
      <c r="H200" s="106" t="str">
        <f>IFERROR(Table792226811961021081141011141517[[#This Row],[Persons]]-Table792226811961021081141011141517[[#This Row],[2011 Census]],"..")</f>
        <v>..</v>
      </c>
      <c r="I200" s="54" t="str">
        <f>IFERROR((Table792226811961021081141011141517[[#This Row],[Persons]]-Table792226811961021081141011141517[[#This Row],[2011 Census]])/Table792226811961021081141011141517[[#This Row],[2011 Census]],"..")</f>
        <v>..</v>
      </c>
    </row>
    <row r="201" spans="2:9">
      <c r="B201" s="158" t="s">
        <v>327</v>
      </c>
      <c r="C201" s="106" t="s">
        <v>327</v>
      </c>
      <c r="D201" s="106" t="s">
        <v>327</v>
      </c>
      <c r="E201" s="106" t="s">
        <v>327</v>
      </c>
      <c r="F201" s="226" t="str">
        <f>IFERROR(Table792226811961021081141011141517[[#This Row],[Persons]]/$C$15,"..")</f>
        <v>..</v>
      </c>
      <c r="G201" s="227" t="s">
        <v>94</v>
      </c>
      <c r="H201" s="106" t="str">
        <f>IFERROR(Table792226811961021081141011141517[[#This Row],[Persons]]-Table792226811961021081141011141517[[#This Row],[2011 Census]],"..")</f>
        <v>..</v>
      </c>
      <c r="I201" s="54" t="str">
        <f>IFERROR((Table792226811961021081141011141517[[#This Row],[Persons]]-Table792226811961021081141011141517[[#This Row],[2011 Census]])/Table792226811961021081141011141517[[#This Row],[2011 Census]],"..")</f>
        <v>..</v>
      </c>
    </row>
    <row r="202" spans="2:9">
      <c r="B202" s="158" t="s">
        <v>327</v>
      </c>
      <c r="C202" s="106" t="s">
        <v>327</v>
      </c>
      <c r="D202" s="106" t="s">
        <v>327</v>
      </c>
      <c r="E202" s="106" t="s">
        <v>327</v>
      </c>
      <c r="F202" s="226" t="str">
        <f>IFERROR(Table792226811961021081141011141517[[#This Row],[Persons]]/$C$15,"..")</f>
        <v>..</v>
      </c>
      <c r="G202" s="227" t="s">
        <v>94</v>
      </c>
      <c r="H202" s="106" t="str">
        <f>IFERROR(Table792226811961021081141011141517[[#This Row],[Persons]]-Table792226811961021081141011141517[[#This Row],[2011 Census]],"..")</f>
        <v>..</v>
      </c>
      <c r="I202" s="54" t="str">
        <f>IFERROR((Table792226811961021081141011141517[[#This Row],[Persons]]-Table792226811961021081141011141517[[#This Row],[2011 Census]])/Table792226811961021081141011141517[[#This Row],[2011 Census]],"..")</f>
        <v>..</v>
      </c>
    </row>
    <row r="203" spans="2:9">
      <c r="B203" s="158" t="s">
        <v>327</v>
      </c>
      <c r="C203" s="106" t="s">
        <v>327</v>
      </c>
      <c r="D203" s="106" t="s">
        <v>327</v>
      </c>
      <c r="E203" s="106" t="s">
        <v>327</v>
      </c>
      <c r="F203" s="226" t="str">
        <f>IFERROR(Table792226811961021081141011141517[[#This Row],[Persons]]/$C$15,"..")</f>
        <v>..</v>
      </c>
      <c r="G203" s="227" t="s">
        <v>94</v>
      </c>
      <c r="H203" s="106" t="str">
        <f>IFERROR(Table792226811961021081141011141517[[#This Row],[Persons]]-Table792226811961021081141011141517[[#This Row],[2011 Census]],"..")</f>
        <v>..</v>
      </c>
      <c r="I203" s="54" t="str">
        <f>IFERROR((Table792226811961021081141011141517[[#This Row],[Persons]]-Table792226811961021081141011141517[[#This Row],[2011 Census]])/Table792226811961021081141011141517[[#This Row],[2011 Census]],"..")</f>
        <v>..</v>
      </c>
    </row>
    <row r="204" spans="2:9">
      <c r="B204" s="155" t="s">
        <v>71</v>
      </c>
      <c r="C204" s="103">
        <v>69</v>
      </c>
      <c r="D204" s="103">
        <v>64</v>
      </c>
      <c r="E204" s="103">
        <v>137</v>
      </c>
      <c r="F204" s="224">
        <f>IFERROR(Table792226811961021081141011141517[[#This Row],[Persons]]/$C$15,"..")</f>
        <v>2.2125322997416021E-2</v>
      </c>
      <c r="G204" s="228" t="s">
        <v>94</v>
      </c>
      <c r="H204" s="103" t="str">
        <f>IFERROR(Table792226811961021081141011141517[[#This Row],[Persons]]-Table792226811961021081141011141517[[#This Row],[2011 Census]],"..")</f>
        <v>..</v>
      </c>
      <c r="I204" s="64" t="str">
        <f>IFERROR((Table792226811961021081141011141517[[#This Row],[Persons]]-Table792226811961021081141011141517[[#This Row],[2011 Census]])/Table792226811961021081141011141517[[#This Row],[2011 Census]],"..")</f>
        <v>..</v>
      </c>
    </row>
    <row r="205" spans="2:9">
      <c r="B205" s="158" t="s">
        <v>58</v>
      </c>
      <c r="C205" s="106">
        <v>669</v>
      </c>
      <c r="D205" s="106">
        <v>653</v>
      </c>
      <c r="E205" s="106">
        <v>1313</v>
      </c>
      <c r="F205" s="226">
        <f>IFERROR(Table792226811961021081141011141517[[#This Row],[Persons]]/$C$15,"..")</f>
        <v>0.21204780361757106</v>
      </c>
      <c r="G205" s="227" t="s">
        <v>94</v>
      </c>
      <c r="H205" s="106" t="str">
        <f>IFERROR(Table792226811961021081141011141517[[#This Row],[Persons]]-Table792226811961021081141011141517[[#This Row],[2011 Census]],"..")</f>
        <v>..</v>
      </c>
      <c r="I205" s="54" t="str">
        <f>IFERROR((Table792226811961021081141011141517[[#This Row],[Persons]]-Table792226811961021081141011141517[[#This Row],[2011 Census]])/Table792226811961021081141011141517[[#This Row],[2011 Census]],"..")</f>
        <v>..</v>
      </c>
    </row>
    <row r="206" spans="2:9" ht="15.75">
      <c r="B206" s="115" t="s">
        <v>72</v>
      </c>
      <c r="C206" s="116" t="s">
        <v>324</v>
      </c>
      <c r="D206" s="116" t="s">
        <v>325</v>
      </c>
      <c r="E206" s="116">
        <f>C15</f>
        <v>6192</v>
      </c>
      <c r="F206" s="230" t="s">
        <v>22</v>
      </c>
      <c r="G206" s="116">
        <f>E15</f>
        <v>6231</v>
      </c>
      <c r="H206" s="229">
        <f>SUM(Table792226811961021081141011141517[[#Totals],[Persons]]-Table792226811961021081141011141517[[#Totals],[2011 Census]])</f>
        <v>-39</v>
      </c>
      <c r="I206" s="231">
        <f>SUM((Table792226811961021081141011141517[[#Totals],[Persons]]-Table792226811961021081141011141517[[#Totals],[2011 Census]])/Table792226811961021081141011141517[[#Totals],[2011 Census]])</f>
        <v>-6.2590274434280212E-3</v>
      </c>
    </row>
    <row r="207" spans="2:9" ht="15.75">
      <c r="B207" s="114"/>
      <c r="C207" s="114"/>
      <c r="D207" s="114"/>
      <c r="E207" s="114"/>
      <c r="F207" s="114"/>
      <c r="G207" s="114"/>
      <c r="H207" s="114"/>
      <c r="I207" s="114"/>
    </row>
    <row r="208" spans="2:9" ht="23.25">
      <c r="B208" s="127" t="s">
        <v>806</v>
      </c>
    </row>
    <row r="209" spans="2:10" ht="15.75">
      <c r="B209" s="150" t="s">
        <v>827</v>
      </c>
    </row>
    <row r="210" spans="2:10" ht="25.5">
      <c r="B210" s="173" t="s">
        <v>64</v>
      </c>
      <c r="C210" s="222" t="s">
        <v>66</v>
      </c>
      <c r="D210" s="222" t="s">
        <v>67</v>
      </c>
      <c r="E210" s="222" t="s">
        <v>58</v>
      </c>
      <c r="F210" s="233" t="s">
        <v>68</v>
      </c>
      <c r="G210" s="233" t="s">
        <v>24</v>
      </c>
      <c r="H210" s="233" t="s">
        <v>25</v>
      </c>
      <c r="I210" s="233" t="s">
        <v>69</v>
      </c>
      <c r="J210" s="233" t="s">
        <v>27</v>
      </c>
    </row>
    <row r="211" spans="2:10">
      <c r="B211" s="155" t="s">
        <v>153</v>
      </c>
      <c r="C211" s="103">
        <v>1527</v>
      </c>
      <c r="D211" s="103">
        <v>5</v>
      </c>
      <c r="E211" s="103">
        <v>15</v>
      </c>
      <c r="F211" s="234">
        <v>441</v>
      </c>
      <c r="G211" s="235">
        <v>290</v>
      </c>
      <c r="H211" s="235">
        <v>483</v>
      </c>
      <c r="I211" s="236">
        <v>287</v>
      </c>
      <c r="J211" s="235">
        <v>46</v>
      </c>
    </row>
    <row r="212" spans="2:10">
      <c r="B212" s="158" t="s">
        <v>149</v>
      </c>
      <c r="C212" s="106">
        <v>1267</v>
      </c>
      <c r="D212" s="106">
        <v>94</v>
      </c>
      <c r="E212" s="106">
        <v>23</v>
      </c>
      <c r="F212" s="237">
        <v>360</v>
      </c>
      <c r="G212" s="238">
        <v>247</v>
      </c>
      <c r="H212" s="238">
        <v>508</v>
      </c>
      <c r="I212" s="239">
        <v>252</v>
      </c>
      <c r="J212" s="238">
        <v>18</v>
      </c>
    </row>
    <row r="213" spans="2:10">
      <c r="B213" s="155" t="s">
        <v>164</v>
      </c>
      <c r="C213" s="103">
        <v>621</v>
      </c>
      <c r="D213" s="103">
        <v>0</v>
      </c>
      <c r="E213" s="103">
        <v>0</v>
      </c>
      <c r="F213" s="240">
        <v>177</v>
      </c>
      <c r="G213" s="241">
        <v>126</v>
      </c>
      <c r="H213" s="241">
        <v>208</v>
      </c>
      <c r="I213" s="242">
        <v>93</v>
      </c>
      <c r="J213" s="241">
        <v>20</v>
      </c>
    </row>
    <row r="214" spans="2:10">
      <c r="B214" s="158" t="s">
        <v>151</v>
      </c>
      <c r="C214" s="106">
        <v>502</v>
      </c>
      <c r="D214" s="106">
        <v>13</v>
      </c>
      <c r="E214" s="106">
        <v>7</v>
      </c>
      <c r="F214" s="237">
        <v>118</v>
      </c>
      <c r="G214" s="238">
        <v>83</v>
      </c>
      <c r="H214" s="238">
        <v>161</v>
      </c>
      <c r="I214" s="239">
        <v>124</v>
      </c>
      <c r="J214" s="238">
        <v>30</v>
      </c>
    </row>
    <row r="215" spans="2:10">
      <c r="B215" s="155" t="s">
        <v>150</v>
      </c>
      <c r="C215" s="103">
        <v>346</v>
      </c>
      <c r="D215" s="103">
        <v>68</v>
      </c>
      <c r="E215" s="103">
        <v>8</v>
      </c>
      <c r="F215" s="240">
        <v>103</v>
      </c>
      <c r="G215" s="241">
        <v>49</v>
      </c>
      <c r="H215" s="241">
        <v>147</v>
      </c>
      <c r="I215" s="242">
        <v>108</v>
      </c>
      <c r="J215" s="241">
        <v>7</v>
      </c>
    </row>
    <row r="216" spans="2:10">
      <c r="B216" s="158" t="s">
        <v>162</v>
      </c>
      <c r="C216" s="106">
        <v>108</v>
      </c>
      <c r="D216" s="106">
        <v>0</v>
      </c>
      <c r="E216" s="106">
        <v>0</v>
      </c>
      <c r="F216" s="237">
        <v>28</v>
      </c>
      <c r="G216" s="238">
        <v>30</v>
      </c>
      <c r="H216" s="238">
        <v>30</v>
      </c>
      <c r="I216" s="239">
        <v>18</v>
      </c>
      <c r="J216" s="238">
        <v>9</v>
      </c>
    </row>
    <row r="217" spans="2:10">
      <c r="B217" s="155" t="s">
        <v>156</v>
      </c>
      <c r="C217" s="103">
        <v>17</v>
      </c>
      <c r="D217" s="103">
        <v>15</v>
      </c>
      <c r="E217" s="103">
        <v>0</v>
      </c>
      <c r="F217" s="240">
        <v>3</v>
      </c>
      <c r="G217" s="241">
        <v>0</v>
      </c>
      <c r="H217" s="241">
        <v>16</v>
      </c>
      <c r="I217" s="242">
        <v>13</v>
      </c>
      <c r="J217" s="241">
        <v>0</v>
      </c>
    </row>
    <row r="218" spans="2:10">
      <c r="B218" s="158" t="s">
        <v>152</v>
      </c>
      <c r="C218" s="106">
        <v>16</v>
      </c>
      <c r="D218" s="106">
        <v>6</v>
      </c>
      <c r="E218" s="106">
        <v>0</v>
      </c>
      <c r="F218" s="237">
        <v>5</v>
      </c>
      <c r="G218" s="238">
        <v>0</v>
      </c>
      <c r="H218" s="238">
        <v>8</v>
      </c>
      <c r="I218" s="239">
        <v>8</v>
      </c>
      <c r="J218" s="238">
        <v>5</v>
      </c>
    </row>
    <row r="219" spans="2:10">
      <c r="B219" s="155" t="s">
        <v>157</v>
      </c>
      <c r="C219" s="103">
        <v>20</v>
      </c>
      <c r="D219" s="103">
        <v>0</v>
      </c>
      <c r="E219" s="103">
        <v>0</v>
      </c>
      <c r="F219" s="240">
        <v>0</v>
      </c>
      <c r="G219" s="241">
        <v>0</v>
      </c>
      <c r="H219" s="241">
        <v>6</v>
      </c>
      <c r="I219" s="242">
        <v>9</v>
      </c>
      <c r="J219" s="241">
        <v>3</v>
      </c>
    </row>
    <row r="220" spans="2:10">
      <c r="B220" s="158" t="s">
        <v>166</v>
      </c>
      <c r="C220" s="106">
        <v>6</v>
      </c>
      <c r="D220" s="106">
        <v>0</v>
      </c>
      <c r="E220" s="106">
        <v>0</v>
      </c>
      <c r="F220" s="237">
        <v>8</v>
      </c>
      <c r="G220" s="238">
        <v>0</v>
      </c>
      <c r="H220" s="238">
        <v>4</v>
      </c>
      <c r="I220" s="239">
        <v>4</v>
      </c>
      <c r="J220" s="238">
        <v>0</v>
      </c>
    </row>
    <row r="221" spans="2:10">
      <c r="B221" s="155" t="s">
        <v>155</v>
      </c>
      <c r="C221" s="103">
        <v>11</v>
      </c>
      <c r="D221" s="103">
        <v>0</v>
      </c>
      <c r="E221" s="103">
        <v>0</v>
      </c>
      <c r="F221" s="240">
        <v>5</v>
      </c>
      <c r="G221" s="241">
        <v>0</v>
      </c>
      <c r="H221" s="241">
        <v>4</v>
      </c>
      <c r="I221" s="242">
        <v>3</v>
      </c>
      <c r="J221" s="241">
        <v>0</v>
      </c>
    </row>
    <row r="222" spans="2:10">
      <c r="B222" s="158" t="s">
        <v>154</v>
      </c>
      <c r="C222" s="106">
        <v>0</v>
      </c>
      <c r="D222" s="106">
        <v>0</v>
      </c>
      <c r="E222" s="106">
        <v>0</v>
      </c>
      <c r="F222" s="237">
        <v>0</v>
      </c>
      <c r="G222" s="238">
        <v>0</v>
      </c>
      <c r="H222" s="238">
        <v>3</v>
      </c>
      <c r="I222" s="239">
        <v>4</v>
      </c>
      <c r="J222" s="238">
        <v>0</v>
      </c>
    </row>
    <row r="223" spans="2:10">
      <c r="B223" s="155" t="s">
        <v>163</v>
      </c>
      <c r="C223" s="103">
        <v>10</v>
      </c>
      <c r="D223" s="103">
        <v>0</v>
      </c>
      <c r="E223" s="103">
        <v>0</v>
      </c>
      <c r="F223" s="240">
        <v>3</v>
      </c>
      <c r="G223" s="241">
        <v>0</v>
      </c>
      <c r="H223" s="241">
        <v>6</v>
      </c>
      <c r="I223" s="242">
        <v>0</v>
      </c>
      <c r="J223" s="241">
        <v>0</v>
      </c>
    </row>
    <row r="224" spans="2:10">
      <c r="B224" s="158" t="s">
        <v>158</v>
      </c>
      <c r="C224" s="106">
        <v>0</v>
      </c>
      <c r="D224" s="106">
        <v>0</v>
      </c>
      <c r="E224" s="106">
        <v>0</v>
      </c>
      <c r="F224" s="237">
        <v>0</v>
      </c>
      <c r="G224" s="238">
        <v>0</v>
      </c>
      <c r="H224" s="238">
        <v>0</v>
      </c>
      <c r="I224" s="239">
        <v>5</v>
      </c>
      <c r="J224" s="238">
        <v>0</v>
      </c>
    </row>
    <row r="225" spans="2:11">
      <c r="B225" s="155" t="s">
        <v>161</v>
      </c>
      <c r="C225" s="103">
        <v>0</v>
      </c>
      <c r="D225" s="103">
        <v>0</v>
      </c>
      <c r="E225" s="103">
        <v>0</v>
      </c>
      <c r="F225" s="240">
        <v>0</v>
      </c>
      <c r="G225" s="241">
        <v>0</v>
      </c>
      <c r="H225" s="241">
        <v>0</v>
      </c>
      <c r="I225" s="242">
        <v>0</v>
      </c>
      <c r="J225" s="241">
        <v>0</v>
      </c>
    </row>
    <row r="226" spans="2:11">
      <c r="B226" s="158" t="s">
        <v>167</v>
      </c>
      <c r="C226" s="106">
        <v>4</v>
      </c>
      <c r="D226" s="106">
        <v>0</v>
      </c>
      <c r="E226" s="106">
        <v>0</v>
      </c>
      <c r="F226" s="237">
        <v>0</v>
      </c>
      <c r="G226" s="238">
        <v>0</v>
      </c>
      <c r="H226" s="238">
        <v>0</v>
      </c>
      <c r="I226" s="239">
        <v>0</v>
      </c>
      <c r="J226" s="238">
        <v>4</v>
      </c>
    </row>
    <row r="227" spans="2:11">
      <c r="B227" s="155" t="s">
        <v>168</v>
      </c>
      <c r="C227" s="103">
        <v>0</v>
      </c>
      <c r="D227" s="103">
        <v>0</v>
      </c>
      <c r="E227" s="103">
        <v>0</v>
      </c>
      <c r="F227" s="240">
        <v>0</v>
      </c>
      <c r="G227" s="241">
        <v>0</v>
      </c>
      <c r="H227" s="241">
        <v>0</v>
      </c>
      <c r="I227" s="242">
        <v>0</v>
      </c>
      <c r="J227" s="241">
        <v>0</v>
      </c>
    </row>
    <row r="228" spans="2:11">
      <c r="B228" s="158" t="s">
        <v>159</v>
      </c>
      <c r="C228" s="106">
        <v>0</v>
      </c>
      <c r="D228" s="106">
        <v>0</v>
      </c>
      <c r="E228" s="106">
        <v>0</v>
      </c>
      <c r="F228" s="237">
        <v>0</v>
      </c>
      <c r="G228" s="238">
        <v>0</v>
      </c>
      <c r="H228" s="238">
        <v>0</v>
      </c>
      <c r="I228" s="239">
        <v>0</v>
      </c>
      <c r="J228" s="238">
        <v>0</v>
      </c>
    </row>
    <row r="229" spans="2:11">
      <c r="B229" s="155" t="s">
        <v>160</v>
      </c>
      <c r="C229" s="103">
        <v>0</v>
      </c>
      <c r="D229" s="103">
        <v>0</v>
      </c>
      <c r="E229" s="103">
        <v>0</v>
      </c>
      <c r="F229" s="240">
        <v>0</v>
      </c>
      <c r="G229" s="241">
        <v>0</v>
      </c>
      <c r="H229" s="241">
        <v>0</v>
      </c>
      <c r="I229" s="242">
        <v>0</v>
      </c>
      <c r="J229" s="241">
        <v>0</v>
      </c>
    </row>
    <row r="230" spans="2:11">
      <c r="B230" s="158" t="s">
        <v>165</v>
      </c>
      <c r="C230" s="106">
        <v>0</v>
      </c>
      <c r="D230" s="106">
        <v>0</v>
      </c>
      <c r="E230" s="106">
        <v>0</v>
      </c>
      <c r="F230" s="237">
        <v>0</v>
      </c>
      <c r="G230" s="238">
        <v>0</v>
      </c>
      <c r="H230" s="238">
        <v>0</v>
      </c>
      <c r="I230" s="239">
        <v>4</v>
      </c>
      <c r="J230" s="238">
        <v>0</v>
      </c>
    </row>
    <row r="231" spans="2:11">
      <c r="B231" s="158" t="s">
        <v>71</v>
      </c>
      <c r="C231" s="106">
        <v>121</v>
      </c>
      <c r="D231" s="106">
        <v>5</v>
      </c>
      <c r="E231" s="106">
        <v>3</v>
      </c>
      <c r="F231" s="237">
        <v>364</v>
      </c>
      <c r="G231" s="238">
        <v>187</v>
      </c>
      <c r="H231" s="238">
        <v>455</v>
      </c>
      <c r="I231" s="239">
        <v>284</v>
      </c>
      <c r="J231" s="238">
        <v>28</v>
      </c>
    </row>
    <row r="232" spans="2:11">
      <c r="B232" s="158" t="s">
        <v>58</v>
      </c>
      <c r="C232" s="106">
        <v>900</v>
      </c>
      <c r="D232" s="106">
        <v>16</v>
      </c>
      <c r="E232" s="106">
        <v>402</v>
      </c>
      <c r="F232" s="237">
        <v>27</v>
      </c>
      <c r="G232" s="238">
        <v>23</v>
      </c>
      <c r="H232" s="238">
        <v>60</v>
      </c>
      <c r="I232" s="239">
        <v>18</v>
      </c>
      <c r="J232" s="238">
        <v>3</v>
      </c>
    </row>
    <row r="233" spans="2:11" ht="15.75">
      <c r="B233" s="115" t="s">
        <v>72</v>
      </c>
      <c r="C233" s="116">
        <f>C16</f>
        <v>5477</v>
      </c>
      <c r="D233" s="116">
        <f>C17</f>
        <v>246</v>
      </c>
      <c r="E233" s="116">
        <f>C18</f>
        <v>463</v>
      </c>
      <c r="F233" s="695">
        <f>SUM(Table79222681297103121133139[Age 01-14])</f>
        <v>1642</v>
      </c>
      <c r="G233" s="695">
        <f>SUM(Table79222681297103121133139[15-24])</f>
        <v>1035</v>
      </c>
      <c r="H233" s="695">
        <f>SUM(Table79222681297103121133139[25-44])</f>
        <v>2099</v>
      </c>
      <c r="I233" s="695">
        <f>SUM(Table79222681297103121133139[56-64])</f>
        <v>1234</v>
      </c>
      <c r="J233" s="695">
        <f>SUM(Table79222681297103121133139[65+])</f>
        <v>173</v>
      </c>
    </row>
    <row r="234" spans="2:11">
      <c r="J234" s="180"/>
    </row>
    <row r="235" spans="2:11">
      <c r="J235" s="183"/>
    </row>
    <row r="236" spans="2:11" ht="15.75">
      <c r="K236" s="285" t="s">
        <v>642</v>
      </c>
    </row>
    <row r="237" spans="2:11" ht="15.75">
      <c r="B237" s="499" t="s">
        <v>857</v>
      </c>
      <c r="C237" s="500"/>
      <c r="D237" s="500"/>
      <c r="E237" s="500"/>
      <c r="F237" s="500"/>
      <c r="G237" s="500"/>
      <c r="H237" s="500"/>
      <c r="I237" s="500"/>
      <c r="J237" s="501"/>
    </row>
    <row r="238" spans="2:11" ht="15.75">
      <c r="B238" s="502" t="s">
        <v>424</v>
      </c>
      <c r="C238" s="503"/>
      <c r="D238" s="503"/>
      <c r="E238" s="503"/>
      <c r="F238" s="503"/>
      <c r="G238" s="503"/>
      <c r="H238" s="503"/>
      <c r="I238" s="503"/>
      <c r="J238" s="504"/>
    </row>
    <row r="239" spans="2:11" ht="15.75">
      <c r="B239" s="505" t="s">
        <v>824</v>
      </c>
      <c r="C239" s="506"/>
      <c r="D239" s="506"/>
      <c r="E239" s="506"/>
      <c r="F239" s="506"/>
      <c r="G239" s="506"/>
      <c r="H239" s="506"/>
      <c r="I239" s="506"/>
      <c r="J239" s="507"/>
    </row>
  </sheetData>
  <sheetProtection password="C6DE" sheet="1" objects="1" scenarios="1"/>
  <mergeCells count="2">
    <mergeCell ref="C168:F168"/>
    <mergeCell ref="J1:K1"/>
  </mergeCells>
  <hyperlinks>
    <hyperlink ref="J1:K1" location="'Index '!A1" display="Back to Index"/>
    <hyperlink ref="K236" location="'3.17 West Arnhem'!K1" display="Back to top"/>
  </hyperlinks>
  <pageMargins left="0.35433070866141736" right="3.937007874015748E-2" top="0.51181102362204722" bottom="0.35433070866141736" header="0.11811023622047245" footer="0.11811023622047245"/>
  <pageSetup paperSize="9" scale="56" fitToHeight="10" orientation="portrait" horizontalDpi="300" verticalDpi="300" r:id="rId1"/>
  <headerFooter differentFirst="1" alignWithMargins="0">
    <oddHeader>&amp;L&amp;"Helvetica Bold,Bold"&amp;18&amp;K000000X LGA (Continued)</oddHeader>
  </headerFooter>
  <drawing r:id="rId2"/>
  <tableParts count="6">
    <tablePart r:id="rId3"/>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showGridLines="0" workbookViewId="0"/>
  </sheetViews>
  <sheetFormatPr defaultColWidth="8.875" defaultRowHeight="15.75"/>
  <cols>
    <col min="1" max="1" width="127.5" style="309" customWidth="1"/>
    <col min="2" max="16384" width="8.875" style="309"/>
  </cols>
  <sheetData>
    <row r="1" spans="1:1" ht="20.25" customHeight="1">
      <c r="A1" s="308" t="s">
        <v>755</v>
      </c>
    </row>
    <row r="2" spans="1:1" ht="20.25" customHeight="1">
      <c r="A2" s="306" t="s">
        <v>756</v>
      </c>
    </row>
    <row r="3" spans="1:1" ht="18" customHeight="1"/>
    <row r="4" spans="1:1" ht="47.25" customHeight="1">
      <c r="A4" s="1197" t="s">
        <v>922</v>
      </c>
    </row>
    <row r="5" spans="1:1" ht="20.25" customHeight="1">
      <c r="A5" s="311"/>
    </row>
    <row r="6" spans="1:1" ht="84" customHeight="1">
      <c r="A6" s="310" t="s">
        <v>921</v>
      </c>
    </row>
    <row r="7" spans="1:1" ht="20.25" customHeight="1">
      <c r="A7" s="311"/>
    </row>
    <row r="8" spans="1:1" ht="35.25" customHeight="1">
      <c r="A8" s="310" t="s">
        <v>757</v>
      </c>
    </row>
    <row r="9" spans="1:1" ht="20.25" customHeight="1">
      <c r="A9" s="311"/>
    </row>
    <row r="10" spans="1:1" ht="20.25" customHeight="1">
      <c r="A10" s="310" t="s">
        <v>758</v>
      </c>
    </row>
    <row r="11" spans="1:1" ht="46.5" customHeight="1">
      <c r="A11" s="1196" t="s">
        <v>920</v>
      </c>
    </row>
    <row r="12" spans="1:1" ht="46.5" customHeight="1">
      <c r="A12" s="313" t="s">
        <v>875</v>
      </c>
    </row>
    <row r="13" spans="1:1" ht="47.25" customHeight="1">
      <c r="A13" s="313" t="s">
        <v>877</v>
      </c>
    </row>
    <row r="14" spans="1:1" ht="46.5" customHeight="1">
      <c r="A14" s="313" t="s">
        <v>835</v>
      </c>
    </row>
    <row r="15" spans="1:1" ht="20.25" customHeight="1">
      <c r="A15" s="314" t="s">
        <v>759</v>
      </c>
    </row>
    <row r="16" spans="1:1" ht="20.25" customHeight="1">
      <c r="A16" s="314" t="s">
        <v>760</v>
      </c>
    </row>
    <row r="17" spans="1:1" ht="20.25" customHeight="1">
      <c r="A17" s="314" t="s">
        <v>761</v>
      </c>
    </row>
    <row r="18" spans="1:1" ht="55.5" customHeight="1">
      <c r="A18" s="313" t="s">
        <v>876</v>
      </c>
    </row>
    <row r="19" spans="1:1" ht="35.25" customHeight="1">
      <c r="A19" s="313" t="s">
        <v>866</v>
      </c>
    </row>
    <row r="20" spans="1:1" ht="77.25" customHeight="1">
      <c r="A20" s="313" t="s">
        <v>836</v>
      </c>
    </row>
    <row r="21" spans="1:1" ht="154.5" customHeight="1">
      <c r="A21" s="313" t="s">
        <v>837</v>
      </c>
    </row>
    <row r="22" spans="1:1" ht="96" customHeight="1">
      <c r="A22" s="313" t="s">
        <v>867</v>
      </c>
    </row>
    <row r="23" spans="1:1" ht="135">
      <c r="A23" s="1193" t="s">
        <v>918</v>
      </c>
    </row>
    <row r="25" spans="1:1" ht="30">
      <c r="A25" s="312" t="s">
        <v>762</v>
      </c>
    </row>
    <row r="26" spans="1:1">
      <c r="A26" s="308" t="s">
        <v>642</v>
      </c>
    </row>
  </sheetData>
  <sheetProtection algorithmName="SHA-512" hashValue="0LJ9eRARiBJDgVn8HEopHR02J/J2OMZugyLUzWHbem/s3Icuy0oU47CPY5PYYE6TABeru2QwD2pk838rIlzwOQ==" saltValue="d22FyF/rnv4Bz1RwVIfFgw==" spinCount="100000" sheet="1" objects="1" scenarios="1"/>
  <conditionalFormatting sqref="A11">
    <cfRule type="iconSet" priority="1">
      <iconSet>
        <cfvo type="percent" val="0"/>
        <cfvo type="percent" val="33"/>
        <cfvo type="percent" val="67"/>
      </iconSet>
    </cfRule>
  </conditionalFormatting>
  <hyperlinks>
    <hyperlink ref="A1" location="'Index '!A1" display="Back to index"/>
    <hyperlink ref="A26" location="Summary!A1" display="Back to top"/>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2"/>
  <sheetViews>
    <sheetView showGridLines="0" zoomScaleNormal="100" zoomScaleSheetLayoutView="110" zoomScalePageLayoutView="75" workbookViewId="0">
      <selection activeCell="J1" sqref="J1:K1"/>
    </sheetView>
  </sheetViews>
  <sheetFormatPr defaultColWidth="15.625" defaultRowHeight="12.75"/>
  <cols>
    <col min="1" max="1" width="5.875" style="149" customWidth="1"/>
    <col min="2" max="2" width="40.875" style="149" customWidth="1"/>
    <col min="3" max="9" width="10.875" style="149" customWidth="1"/>
    <col min="10" max="10" width="12.125" style="149" customWidth="1"/>
    <col min="11" max="11" width="11.625" style="149" customWidth="1"/>
    <col min="12" max="14" width="15.625" style="149" customWidth="1"/>
    <col min="15" max="18" width="15.625" style="149"/>
    <col min="19" max="28" width="15.625" style="149" customWidth="1"/>
    <col min="29" max="16384" width="15.625" style="149"/>
  </cols>
  <sheetData>
    <row r="1" spans="1:11" ht="15.75">
      <c r="B1" s="122"/>
      <c r="C1" s="122"/>
      <c r="D1" s="122"/>
      <c r="E1" s="122"/>
      <c r="J1" s="1229" t="s">
        <v>359</v>
      </c>
      <c r="K1" s="1229"/>
    </row>
    <row r="2" spans="1:11" ht="30" customHeight="1">
      <c r="A2" s="120"/>
      <c r="B2" s="333" t="s">
        <v>917</v>
      </c>
      <c r="C2" s="120"/>
      <c r="D2" s="120"/>
      <c r="E2" s="120"/>
      <c r="F2" s="120"/>
      <c r="G2" s="650"/>
      <c r="H2" s="1268" t="s">
        <v>297</v>
      </c>
      <c r="I2" s="1268"/>
      <c r="J2" s="1268"/>
      <c r="K2" s="1268"/>
    </row>
    <row r="3" spans="1:11">
      <c r="B3" s="122"/>
      <c r="C3" s="122"/>
      <c r="D3" s="122"/>
      <c r="E3" s="122"/>
      <c r="F3" s="122"/>
    </row>
    <row r="4" spans="1:11">
      <c r="B4" s="122"/>
      <c r="C4" s="122"/>
      <c r="D4" s="122"/>
      <c r="E4" s="122"/>
      <c r="F4" s="122"/>
    </row>
    <row r="5" spans="1:11">
      <c r="B5" s="123"/>
      <c r="C5" s="123"/>
      <c r="D5" s="123"/>
      <c r="E5" s="122"/>
      <c r="F5" s="122"/>
    </row>
    <row r="6" spans="1:11" ht="15.75">
      <c r="B6" s="124" t="s">
        <v>0</v>
      </c>
      <c r="C6" s="53" t="s">
        <v>1</v>
      </c>
      <c r="D6" s="123"/>
      <c r="E6" s="122"/>
      <c r="F6" s="122"/>
    </row>
    <row r="7" spans="1:11" ht="15.75">
      <c r="B7" s="126" t="s">
        <v>2</v>
      </c>
      <c r="C7" s="53">
        <f>D16</f>
        <v>0.94790022102936533</v>
      </c>
      <c r="D7" s="123"/>
      <c r="E7" s="122"/>
      <c r="F7" s="122"/>
    </row>
    <row r="8" spans="1:11" ht="15.75">
      <c r="B8" s="126" t="s">
        <v>3</v>
      </c>
      <c r="C8" s="53">
        <f>D18</f>
        <v>3.9153773287022416E-2</v>
      </c>
      <c r="D8" s="123"/>
      <c r="E8" s="122"/>
      <c r="F8" s="122"/>
    </row>
    <row r="9" spans="1:11" ht="15.75">
      <c r="B9" s="126" t="s">
        <v>4</v>
      </c>
      <c r="C9" s="53">
        <f>D19</f>
        <v>7.2623934322702871E-3</v>
      </c>
      <c r="D9" s="123"/>
      <c r="E9" s="122"/>
      <c r="F9" s="122"/>
    </row>
    <row r="10" spans="1:11" ht="15.75">
      <c r="B10" s="126" t="s">
        <v>5</v>
      </c>
      <c r="C10" s="53">
        <f>D20</f>
        <v>5.3678560151562997E-3</v>
      </c>
      <c r="D10" s="123"/>
      <c r="E10" s="122"/>
      <c r="F10" s="122"/>
    </row>
    <row r="11" spans="1:11" ht="15.75">
      <c r="B11" s="126"/>
      <c r="C11" s="53"/>
      <c r="D11" s="123"/>
      <c r="E11" s="122"/>
      <c r="F11" s="122"/>
    </row>
    <row r="12" spans="1:11" ht="23.25">
      <c r="B12" s="127" t="s">
        <v>807</v>
      </c>
      <c r="H12" s="547"/>
      <c r="I12" s="547"/>
    </row>
    <row r="14" spans="1:11" s="128" customFormat="1" ht="25.5">
      <c r="B14" s="252" t="s">
        <v>0</v>
      </c>
      <c r="C14" s="233" t="s">
        <v>6</v>
      </c>
      <c r="D14" s="233" t="s">
        <v>1</v>
      </c>
      <c r="E14" s="233" t="s">
        <v>7</v>
      </c>
      <c r="F14" s="233" t="s">
        <v>65</v>
      </c>
      <c r="G14" s="233" t="s">
        <v>8</v>
      </c>
    </row>
    <row r="15" spans="1:11" s="329" customFormat="1" ht="15.75">
      <c r="B15" s="1169" t="s">
        <v>9</v>
      </c>
      <c r="C15" s="1170">
        <v>3167</v>
      </c>
      <c r="D15" s="1171">
        <f t="shared" ref="D15:D25" si="0">(C15/$C$15)</f>
        <v>1</v>
      </c>
      <c r="E15" s="1170" t="s">
        <v>94</v>
      </c>
      <c r="F15" s="1170" t="s">
        <v>94</v>
      </c>
      <c r="G15" s="1170" t="s">
        <v>94</v>
      </c>
    </row>
    <row r="16" spans="1:11" s="329" customFormat="1" ht="15.75">
      <c r="B16" s="1169" t="s">
        <v>2</v>
      </c>
      <c r="C16" s="1170">
        <v>3002</v>
      </c>
      <c r="D16" s="1171">
        <f t="shared" si="0"/>
        <v>0.94790022102936533</v>
      </c>
      <c r="E16" s="1170" t="s">
        <v>94</v>
      </c>
      <c r="F16" s="1170" t="s">
        <v>94</v>
      </c>
      <c r="G16" s="1170" t="s">
        <v>94</v>
      </c>
    </row>
    <row r="17" spans="2:10" s="329" customFormat="1" ht="15.75">
      <c r="B17" s="1169" t="s">
        <v>362</v>
      </c>
      <c r="C17" s="1170">
        <v>37</v>
      </c>
      <c r="D17" s="1171">
        <f t="shared" si="0"/>
        <v>1.1682980738869593E-2</v>
      </c>
      <c r="E17" s="1172" t="s">
        <v>94</v>
      </c>
      <c r="F17" s="1172" t="s">
        <v>94</v>
      </c>
      <c r="G17" s="1172" t="s">
        <v>94</v>
      </c>
    </row>
    <row r="18" spans="2:10" s="329" customFormat="1" ht="15.75">
      <c r="B18" s="1169" t="s">
        <v>3</v>
      </c>
      <c r="C18" s="1170">
        <v>124</v>
      </c>
      <c r="D18" s="1171">
        <f t="shared" si="0"/>
        <v>3.9153773287022416E-2</v>
      </c>
      <c r="E18" s="1172" t="s">
        <v>94</v>
      </c>
      <c r="F18" s="1172" t="s">
        <v>94</v>
      </c>
      <c r="G18" s="1172" t="s">
        <v>94</v>
      </c>
    </row>
    <row r="19" spans="2:10" s="329" customFormat="1" ht="15.75">
      <c r="B19" s="1173" t="s">
        <v>4</v>
      </c>
      <c r="C19" s="1170">
        <v>23</v>
      </c>
      <c r="D19" s="1171">
        <f t="shared" si="0"/>
        <v>7.2623934322702871E-3</v>
      </c>
      <c r="E19" s="1172" t="s">
        <v>94</v>
      </c>
      <c r="F19" s="1172" t="s">
        <v>94</v>
      </c>
      <c r="G19" s="1172" t="s">
        <v>94</v>
      </c>
    </row>
    <row r="20" spans="2:10" s="329" customFormat="1" ht="15.75">
      <c r="B20" s="1173" t="s">
        <v>5</v>
      </c>
      <c r="C20" s="1170">
        <v>17</v>
      </c>
      <c r="D20" s="1171">
        <f t="shared" si="0"/>
        <v>5.3678560151562997E-3</v>
      </c>
      <c r="E20" s="1172" t="s">
        <v>94</v>
      </c>
      <c r="F20" s="1172" t="s">
        <v>94</v>
      </c>
      <c r="G20" s="1172" t="s">
        <v>94</v>
      </c>
    </row>
    <row r="21" spans="2:10" s="329" customFormat="1" ht="15.75">
      <c r="B21" s="1169" t="s">
        <v>11</v>
      </c>
      <c r="C21" s="1170">
        <v>13</v>
      </c>
      <c r="D21" s="1171">
        <f t="shared" si="0"/>
        <v>4.1048310704136408E-3</v>
      </c>
      <c r="E21" s="1172" t="s">
        <v>94</v>
      </c>
      <c r="F21" s="1172" t="s">
        <v>94</v>
      </c>
      <c r="G21" s="1172" t="s">
        <v>94</v>
      </c>
    </row>
    <row r="22" spans="2:10" s="329" customFormat="1" ht="15.75">
      <c r="B22" s="1169" t="s">
        <v>12</v>
      </c>
      <c r="C22" s="1170">
        <v>2875</v>
      </c>
      <c r="D22" s="1171">
        <f t="shared" si="0"/>
        <v>0.90779917903378593</v>
      </c>
      <c r="E22" s="1172" t="s">
        <v>94</v>
      </c>
      <c r="F22" s="1172" t="s">
        <v>94</v>
      </c>
      <c r="G22" s="1172" t="s">
        <v>94</v>
      </c>
    </row>
    <row r="23" spans="2:10" s="329" customFormat="1" ht="15.75">
      <c r="B23" s="1169" t="s">
        <v>13</v>
      </c>
      <c r="C23" s="1170">
        <v>2543</v>
      </c>
      <c r="D23" s="1171">
        <f t="shared" si="0"/>
        <v>0.80296810862014523</v>
      </c>
      <c r="E23" s="1172" t="s">
        <v>94</v>
      </c>
      <c r="F23" s="1172" t="s">
        <v>94</v>
      </c>
      <c r="G23" s="1172" t="s">
        <v>94</v>
      </c>
    </row>
    <row r="24" spans="2:10" s="329" customFormat="1" ht="15.75">
      <c r="B24" s="262" t="s">
        <v>869</v>
      </c>
      <c r="C24" s="1170">
        <v>23</v>
      </c>
      <c r="D24" s="1171">
        <f t="shared" si="0"/>
        <v>7.2623934322702871E-3</v>
      </c>
      <c r="E24" s="1172" t="s">
        <v>94</v>
      </c>
      <c r="F24" s="1172" t="s">
        <v>94</v>
      </c>
      <c r="G24" s="1172" t="s">
        <v>94</v>
      </c>
    </row>
    <row r="25" spans="2:10" s="329" customFormat="1" ht="17.100000000000001" customHeight="1">
      <c r="B25" s="262" t="s">
        <v>870</v>
      </c>
      <c r="C25" s="1170">
        <v>4</v>
      </c>
      <c r="D25" s="1171">
        <f t="shared" si="0"/>
        <v>1.2630249447426586E-3</v>
      </c>
      <c r="E25" s="1172" t="s">
        <v>94</v>
      </c>
      <c r="F25" s="1172" t="s">
        <v>94</v>
      </c>
      <c r="G25" s="1172" t="s">
        <v>94</v>
      </c>
    </row>
    <row r="26" spans="2:10" s="329" customFormat="1">
      <c r="B26" s="349" t="s">
        <v>366</v>
      </c>
    </row>
    <row r="27" spans="2:10" s="329" customFormat="1">
      <c r="B27" s="349"/>
    </row>
    <row r="28" spans="2:10" s="329" customFormat="1" ht="23.25">
      <c r="B28" s="127" t="s">
        <v>808</v>
      </c>
      <c r="D28" s="513"/>
      <c r="E28" s="514"/>
      <c r="F28" s="514"/>
      <c r="G28" s="514"/>
    </row>
    <row r="29" spans="2:10" s="329" customFormat="1" ht="15.75">
      <c r="B29" s="133" t="s">
        <v>333</v>
      </c>
    </row>
    <row r="30" spans="2:10" s="128" customFormat="1" ht="25.5">
      <c r="B30" s="992" t="s">
        <v>14</v>
      </c>
      <c r="C30" s="993" t="s">
        <v>15</v>
      </c>
      <c r="D30" s="993" t="s">
        <v>16</v>
      </c>
      <c r="E30" s="993" t="s">
        <v>17</v>
      </c>
      <c r="F30" s="993" t="s">
        <v>18</v>
      </c>
      <c r="G30" s="993" t="s">
        <v>19</v>
      </c>
      <c r="H30" s="544" t="s">
        <v>20</v>
      </c>
      <c r="I30" s="1240"/>
      <c r="J30" s="1240"/>
    </row>
    <row r="31" spans="2:10">
      <c r="B31" s="1174" t="s">
        <v>73</v>
      </c>
      <c r="C31" s="908">
        <v>8</v>
      </c>
      <c r="D31" s="908">
        <v>7</v>
      </c>
      <c r="E31" s="908">
        <v>15</v>
      </c>
      <c r="F31" s="908" t="s">
        <v>94</v>
      </c>
      <c r="G31" s="908" t="s">
        <v>94</v>
      </c>
      <c r="H31" s="1175" t="s">
        <v>94</v>
      </c>
    </row>
    <row r="32" spans="2:10">
      <c r="B32" s="1174" t="s">
        <v>92</v>
      </c>
      <c r="C32" s="908">
        <v>3</v>
      </c>
      <c r="D32" s="908">
        <v>0</v>
      </c>
      <c r="E32" s="908">
        <v>7</v>
      </c>
      <c r="F32" s="908" t="s">
        <v>94</v>
      </c>
      <c r="G32" s="908" t="s">
        <v>94</v>
      </c>
      <c r="H32" s="1175" t="s">
        <v>94</v>
      </c>
    </row>
    <row r="33" spans="2:8">
      <c r="B33" s="1174" t="s">
        <v>83</v>
      </c>
      <c r="C33" s="908">
        <v>3</v>
      </c>
      <c r="D33" s="908">
        <v>0</v>
      </c>
      <c r="E33" s="908">
        <v>3</v>
      </c>
      <c r="F33" s="908" t="s">
        <v>94</v>
      </c>
      <c r="G33" s="908" t="s">
        <v>94</v>
      </c>
      <c r="H33" s="1175" t="s">
        <v>94</v>
      </c>
    </row>
    <row r="34" spans="2:8">
      <c r="B34" s="1174" t="s">
        <v>88</v>
      </c>
      <c r="C34" s="908">
        <v>5</v>
      </c>
      <c r="D34" s="908">
        <v>0</v>
      </c>
      <c r="E34" s="908">
        <v>3</v>
      </c>
      <c r="F34" s="908" t="s">
        <v>94</v>
      </c>
      <c r="G34" s="908" t="s">
        <v>94</v>
      </c>
      <c r="H34" s="1175" t="s">
        <v>94</v>
      </c>
    </row>
    <row r="35" spans="2:8">
      <c r="B35" s="1174" t="s">
        <v>131</v>
      </c>
      <c r="C35" s="908">
        <v>0</v>
      </c>
      <c r="D35" s="908">
        <v>3</v>
      </c>
      <c r="E35" s="908">
        <v>3</v>
      </c>
      <c r="F35" s="908" t="s">
        <v>94</v>
      </c>
      <c r="G35" s="908" t="s">
        <v>94</v>
      </c>
      <c r="H35" s="1175" t="s">
        <v>94</v>
      </c>
    </row>
    <row r="36" spans="2:8">
      <c r="B36" s="1174" t="s">
        <v>142</v>
      </c>
      <c r="C36" s="908">
        <v>0</v>
      </c>
      <c r="D36" s="908">
        <v>0</v>
      </c>
      <c r="E36" s="908">
        <v>0</v>
      </c>
      <c r="F36" s="908" t="s">
        <v>94</v>
      </c>
      <c r="G36" s="908" t="s">
        <v>94</v>
      </c>
      <c r="H36" s="1175" t="s">
        <v>94</v>
      </c>
    </row>
    <row r="37" spans="2:8">
      <c r="B37" s="1174" t="s">
        <v>130</v>
      </c>
      <c r="C37" s="908">
        <v>0</v>
      </c>
      <c r="D37" s="908">
        <v>0</v>
      </c>
      <c r="E37" s="908">
        <v>0</v>
      </c>
      <c r="F37" s="908" t="s">
        <v>94</v>
      </c>
      <c r="G37" s="908" t="s">
        <v>94</v>
      </c>
      <c r="H37" s="1175" t="s">
        <v>94</v>
      </c>
    </row>
    <row r="38" spans="2:8">
      <c r="B38" s="1174" t="s">
        <v>143</v>
      </c>
      <c r="C38" s="908">
        <v>0</v>
      </c>
      <c r="D38" s="908">
        <v>0</v>
      </c>
      <c r="E38" s="908">
        <v>0</v>
      </c>
      <c r="F38" s="908" t="s">
        <v>94</v>
      </c>
      <c r="G38" s="908" t="s">
        <v>94</v>
      </c>
      <c r="H38" s="1175" t="s">
        <v>94</v>
      </c>
    </row>
    <row r="39" spans="2:8">
      <c r="B39" s="1174" t="s">
        <v>144</v>
      </c>
      <c r="C39" s="908">
        <v>0</v>
      </c>
      <c r="D39" s="908">
        <v>0</v>
      </c>
      <c r="E39" s="908">
        <v>0</v>
      </c>
      <c r="F39" s="908" t="s">
        <v>94</v>
      </c>
      <c r="G39" s="908" t="s">
        <v>94</v>
      </c>
      <c r="H39" s="1175" t="s">
        <v>94</v>
      </c>
    </row>
    <row r="40" spans="2:8">
      <c r="B40" s="1174" t="s">
        <v>135</v>
      </c>
      <c r="C40" s="908">
        <v>0</v>
      </c>
      <c r="D40" s="908">
        <v>0</v>
      </c>
      <c r="E40" s="908">
        <v>0</v>
      </c>
      <c r="F40" s="908" t="s">
        <v>94</v>
      </c>
      <c r="G40" s="908" t="s">
        <v>94</v>
      </c>
      <c r="H40" s="1175" t="s">
        <v>94</v>
      </c>
    </row>
    <row r="41" spans="2:8">
      <c r="B41" s="1174" t="s">
        <v>369</v>
      </c>
      <c r="C41" s="908">
        <f>C42-SUM(C31:C40)</f>
        <v>6</v>
      </c>
      <c r="D41" s="908">
        <f t="shared" ref="D41:E41" si="1">D42-SUM(D31:D40)</f>
        <v>8</v>
      </c>
      <c r="E41" s="908">
        <f t="shared" si="1"/>
        <v>6</v>
      </c>
      <c r="F41" s="908" t="s">
        <v>94</v>
      </c>
      <c r="G41" s="908" t="s">
        <v>94</v>
      </c>
      <c r="H41" s="1175" t="s">
        <v>94</v>
      </c>
    </row>
    <row r="42" spans="2:8" ht="15" customHeight="1">
      <c r="B42" s="1176" t="s">
        <v>21</v>
      </c>
      <c r="C42" s="1177">
        <v>25</v>
      </c>
      <c r="D42" s="1177">
        <v>18</v>
      </c>
      <c r="E42" s="1178">
        <f>C17</f>
        <v>37</v>
      </c>
      <c r="F42" s="1179">
        <v>1</v>
      </c>
      <c r="G42" s="1180" t="str">
        <f>E17</f>
        <v>..</v>
      </c>
      <c r="H42" s="1181" t="s">
        <v>94</v>
      </c>
    </row>
    <row r="43" spans="2:8" s="329" customFormat="1">
      <c r="B43" s="349" t="s">
        <v>366</v>
      </c>
    </row>
    <row r="45" spans="2:8" ht="23.25">
      <c r="B45" s="127" t="s">
        <v>809</v>
      </c>
    </row>
    <row r="46" spans="2:8" ht="15.75">
      <c r="B46" s="138" t="s">
        <v>832</v>
      </c>
    </row>
    <row r="47" spans="2:8">
      <c r="B47" s="149" t="s">
        <v>871</v>
      </c>
    </row>
    <row r="48" spans="2:8">
      <c r="B48" s="151" t="s">
        <v>14</v>
      </c>
      <c r="C48" s="526" t="s">
        <v>23</v>
      </c>
      <c r="D48" s="526" t="s">
        <v>24</v>
      </c>
      <c r="E48" s="526" t="s">
        <v>25</v>
      </c>
      <c r="F48" s="526" t="s">
        <v>26</v>
      </c>
      <c r="G48" s="526" t="s">
        <v>27</v>
      </c>
      <c r="H48" s="544" t="s">
        <v>28</v>
      </c>
    </row>
    <row r="49" spans="2:8">
      <c r="B49" s="63" t="s">
        <v>73</v>
      </c>
      <c r="C49" s="103">
        <v>0</v>
      </c>
      <c r="D49" s="103">
        <v>0</v>
      </c>
      <c r="E49" s="103">
        <v>7</v>
      </c>
      <c r="F49" s="242">
        <v>4</v>
      </c>
      <c r="G49" s="103">
        <v>0</v>
      </c>
      <c r="H49" s="65">
        <v>15</v>
      </c>
    </row>
    <row r="50" spans="2:8">
      <c r="B50" s="162" t="s">
        <v>92</v>
      </c>
      <c r="C50" s="106">
        <v>0</v>
      </c>
      <c r="D50" s="106">
        <v>0</v>
      </c>
      <c r="E50" s="106">
        <v>0</v>
      </c>
      <c r="F50" s="239">
        <v>7</v>
      </c>
      <c r="G50" s="106">
        <v>0</v>
      </c>
      <c r="H50" s="67">
        <v>7</v>
      </c>
    </row>
    <row r="51" spans="2:8">
      <c r="B51" s="154" t="s">
        <v>131</v>
      </c>
      <c r="C51" s="103">
        <v>0</v>
      </c>
      <c r="D51" s="103">
        <v>0</v>
      </c>
      <c r="E51" s="103">
        <v>0</v>
      </c>
      <c r="F51" s="242">
        <v>0</v>
      </c>
      <c r="G51" s="103">
        <v>0</v>
      </c>
      <c r="H51" s="68">
        <v>3</v>
      </c>
    </row>
    <row r="52" spans="2:8">
      <c r="B52" s="66" t="s">
        <v>83</v>
      </c>
      <c r="C52" s="106">
        <v>0</v>
      </c>
      <c r="D52" s="106">
        <v>0</v>
      </c>
      <c r="E52" s="106">
        <v>3</v>
      </c>
      <c r="F52" s="239">
        <v>0</v>
      </c>
      <c r="G52" s="106">
        <v>0</v>
      </c>
      <c r="H52" s="67">
        <v>3</v>
      </c>
    </row>
    <row r="53" spans="2:8">
      <c r="B53" s="63" t="s">
        <v>88</v>
      </c>
      <c r="C53" s="103">
        <v>0</v>
      </c>
      <c r="D53" s="103">
        <v>0</v>
      </c>
      <c r="E53" s="103">
        <v>3</v>
      </c>
      <c r="F53" s="242">
        <v>0</v>
      </c>
      <c r="G53" s="103">
        <v>0</v>
      </c>
      <c r="H53" s="68">
        <v>3</v>
      </c>
    </row>
    <row r="54" spans="2:8">
      <c r="B54" s="1122" t="s">
        <v>94</v>
      </c>
      <c r="C54" s="106" t="s">
        <v>94</v>
      </c>
      <c r="D54" s="106" t="s">
        <v>94</v>
      </c>
      <c r="E54" s="106" t="s">
        <v>94</v>
      </c>
      <c r="F54" s="239" t="s">
        <v>94</v>
      </c>
      <c r="G54" s="106" t="s">
        <v>94</v>
      </c>
      <c r="H54" s="67" t="s">
        <v>94</v>
      </c>
    </row>
    <row r="55" spans="2:8">
      <c r="B55" s="63" t="s">
        <v>94</v>
      </c>
      <c r="C55" s="103" t="s">
        <v>94</v>
      </c>
      <c r="D55" s="103" t="s">
        <v>94</v>
      </c>
      <c r="E55" s="103" t="s">
        <v>94</v>
      </c>
      <c r="F55" s="242" t="s">
        <v>94</v>
      </c>
      <c r="G55" s="103" t="s">
        <v>94</v>
      </c>
      <c r="H55" s="68" t="s">
        <v>94</v>
      </c>
    </row>
    <row r="56" spans="2:8">
      <c r="B56" s="162" t="s">
        <v>94</v>
      </c>
      <c r="C56" s="106" t="s">
        <v>94</v>
      </c>
      <c r="D56" s="106" t="s">
        <v>94</v>
      </c>
      <c r="E56" s="106" t="s">
        <v>94</v>
      </c>
      <c r="F56" s="239" t="s">
        <v>94</v>
      </c>
      <c r="G56" s="106" t="s">
        <v>94</v>
      </c>
      <c r="H56" s="67" t="s">
        <v>94</v>
      </c>
    </row>
    <row r="57" spans="2:8">
      <c r="B57" s="63" t="s">
        <v>94</v>
      </c>
      <c r="C57" s="103" t="s">
        <v>94</v>
      </c>
      <c r="D57" s="103" t="s">
        <v>94</v>
      </c>
      <c r="E57" s="103" t="s">
        <v>94</v>
      </c>
      <c r="F57" s="242" t="s">
        <v>94</v>
      </c>
      <c r="G57" s="103" t="s">
        <v>94</v>
      </c>
      <c r="H57" s="68" t="s">
        <v>94</v>
      </c>
    </row>
    <row r="58" spans="2:8">
      <c r="B58" s="66" t="s">
        <v>94</v>
      </c>
      <c r="C58" s="106" t="s">
        <v>94</v>
      </c>
      <c r="D58" s="106" t="s">
        <v>94</v>
      </c>
      <c r="E58" s="106" t="s">
        <v>94</v>
      </c>
      <c r="F58" s="239" t="s">
        <v>94</v>
      </c>
      <c r="G58" s="106" t="s">
        <v>94</v>
      </c>
      <c r="H58" s="67" t="s">
        <v>94</v>
      </c>
    </row>
    <row r="59" spans="2:8">
      <c r="B59" s="69" t="s">
        <v>29</v>
      </c>
      <c r="C59" s="141">
        <v>1015</v>
      </c>
      <c r="D59" s="141">
        <v>553</v>
      </c>
      <c r="E59" s="141">
        <v>975</v>
      </c>
      <c r="F59" s="141">
        <v>408</v>
      </c>
      <c r="G59" s="141">
        <v>54</v>
      </c>
      <c r="H59" s="71">
        <v>3002</v>
      </c>
    </row>
    <row r="60" spans="2:8">
      <c r="B60" s="72" t="s">
        <v>30</v>
      </c>
      <c r="C60" s="142" t="s">
        <v>94</v>
      </c>
      <c r="D60" s="142">
        <v>4</v>
      </c>
      <c r="E60" s="142">
        <v>11</v>
      </c>
      <c r="F60" s="142">
        <v>11</v>
      </c>
      <c r="G60" s="679" t="s">
        <v>94</v>
      </c>
      <c r="H60" s="74">
        <f>C19</f>
        <v>23</v>
      </c>
    </row>
    <row r="61" spans="2:8">
      <c r="B61" s="75" t="s">
        <v>31</v>
      </c>
      <c r="C61" s="1132" t="s">
        <v>94</v>
      </c>
      <c r="D61" s="1132">
        <v>3</v>
      </c>
      <c r="E61" s="1132">
        <v>6</v>
      </c>
      <c r="F61" s="1132">
        <v>3</v>
      </c>
      <c r="G61" s="1132">
        <v>4</v>
      </c>
      <c r="H61" s="77">
        <f>C20</f>
        <v>17</v>
      </c>
    </row>
    <row r="63" spans="2:8" ht="23.25">
      <c r="B63" s="127" t="s">
        <v>810</v>
      </c>
    </row>
    <row r="64" spans="2:8" ht="15.75">
      <c r="B64" s="138" t="s">
        <v>833</v>
      </c>
    </row>
    <row r="65" spans="2:8">
      <c r="B65" s="149" t="s">
        <v>871</v>
      </c>
    </row>
    <row r="66" spans="2:8">
      <c r="B66" s="151" t="s">
        <v>14</v>
      </c>
      <c r="C66" s="526" t="s">
        <v>23</v>
      </c>
      <c r="D66" s="526" t="s">
        <v>24</v>
      </c>
      <c r="E66" s="526" t="s">
        <v>25</v>
      </c>
      <c r="F66" s="526" t="s">
        <v>26</v>
      </c>
      <c r="G66" s="526" t="s">
        <v>27</v>
      </c>
      <c r="H66" s="544" t="s">
        <v>28</v>
      </c>
    </row>
    <row r="67" spans="2:8">
      <c r="B67" s="63" t="str">
        <f t="shared" ref="B67:B76" si="2">B49</f>
        <v>New Zealand</v>
      </c>
      <c r="C67" s="64">
        <f>SUM(C49/H49)</f>
        <v>0</v>
      </c>
      <c r="D67" s="64">
        <f>SUM(D49/H49)</f>
        <v>0</v>
      </c>
      <c r="E67" s="64">
        <f>SUM(E49/H49)</f>
        <v>0.46666666666666667</v>
      </c>
      <c r="F67" s="64">
        <f>SUM(F49/H49)</f>
        <v>0.26666666666666666</v>
      </c>
      <c r="G67" s="64">
        <f>SUM(G49/H49)</f>
        <v>0</v>
      </c>
      <c r="H67" s="65">
        <f>H49</f>
        <v>15</v>
      </c>
    </row>
    <row r="68" spans="2:8">
      <c r="B68" s="66" t="str">
        <f t="shared" si="2"/>
        <v>England</v>
      </c>
      <c r="C68" s="54">
        <f>SUM(C50/H50)</f>
        <v>0</v>
      </c>
      <c r="D68" s="54">
        <f>SUM(D50/H50)</f>
        <v>0</v>
      </c>
      <c r="E68" s="54">
        <f>SUM(E50/H50)</f>
        <v>0</v>
      </c>
      <c r="F68" s="54">
        <f>SUM(F50/H50)</f>
        <v>1</v>
      </c>
      <c r="G68" s="54">
        <f>SUM(G50/H50)</f>
        <v>0</v>
      </c>
      <c r="H68" s="67">
        <f>H50</f>
        <v>7</v>
      </c>
    </row>
    <row r="69" spans="2:8">
      <c r="B69" s="63" t="str">
        <f t="shared" si="2"/>
        <v>Scotland</v>
      </c>
      <c r="C69" s="64">
        <f>SUM(C51/H51)</f>
        <v>0</v>
      </c>
      <c r="D69" s="64">
        <f>SUM(D51/H51)</f>
        <v>0</v>
      </c>
      <c r="E69" s="64">
        <f>SUM(E51/H51)</f>
        <v>0</v>
      </c>
      <c r="F69" s="64">
        <f>SUM(F51/H51)</f>
        <v>0</v>
      </c>
      <c r="G69" s="64">
        <f>SUM(G51/H51)</f>
        <v>0</v>
      </c>
      <c r="H69" s="68">
        <f>H51</f>
        <v>3</v>
      </c>
    </row>
    <row r="70" spans="2:8">
      <c r="B70" s="66" t="str">
        <f t="shared" si="2"/>
        <v>Ireland</v>
      </c>
      <c r="C70" s="54">
        <f>SUM(C52/H52)</f>
        <v>0</v>
      </c>
      <c r="D70" s="54">
        <f>SUM(D52/H52)</f>
        <v>0</v>
      </c>
      <c r="E70" s="54">
        <f>SUM(E52/H52)</f>
        <v>1</v>
      </c>
      <c r="F70" s="54">
        <f>SUM(F52/H52)</f>
        <v>0</v>
      </c>
      <c r="G70" s="54">
        <f>SUM(G52/H52)</f>
        <v>0</v>
      </c>
      <c r="H70" s="67">
        <f>H52</f>
        <v>3</v>
      </c>
    </row>
    <row r="71" spans="2:8">
      <c r="B71" s="63" t="str">
        <f t="shared" si="2"/>
        <v>Korea, Republic of (South)</v>
      </c>
      <c r="C71" s="64">
        <f>SUM(C53/H53)</f>
        <v>0</v>
      </c>
      <c r="D71" s="64">
        <f>SUM(D53/H53)</f>
        <v>0</v>
      </c>
      <c r="E71" s="64">
        <f>SUM(E53/H53)</f>
        <v>1</v>
      </c>
      <c r="F71" s="64">
        <f>SUM(F53/H53)</f>
        <v>0</v>
      </c>
      <c r="G71" s="64">
        <f>SUM(G53/H53)</f>
        <v>0</v>
      </c>
      <c r="H71" s="68">
        <f>H53</f>
        <v>3</v>
      </c>
    </row>
    <row r="72" spans="2:8">
      <c r="B72" s="66" t="str">
        <f t="shared" si="2"/>
        <v>..</v>
      </c>
      <c r="C72" s="54" t="str">
        <f t="shared" ref="C72:H76" si="3">IFERROR(C54/$H$54,"..")</f>
        <v>..</v>
      </c>
      <c r="D72" s="54" t="str">
        <f t="shared" si="3"/>
        <v>..</v>
      </c>
      <c r="E72" s="54" t="str">
        <f t="shared" si="3"/>
        <v>..</v>
      </c>
      <c r="F72" s="54" t="str">
        <f t="shared" si="3"/>
        <v>..</v>
      </c>
      <c r="G72" s="54" t="str">
        <f t="shared" si="3"/>
        <v>..</v>
      </c>
      <c r="H72" s="67" t="str">
        <f t="shared" si="3"/>
        <v>..</v>
      </c>
    </row>
    <row r="73" spans="2:8">
      <c r="B73" s="63" t="str">
        <f t="shared" si="2"/>
        <v>..</v>
      </c>
      <c r="C73" s="64" t="str">
        <f t="shared" si="3"/>
        <v>..</v>
      </c>
      <c r="D73" s="64" t="str">
        <f t="shared" si="3"/>
        <v>..</v>
      </c>
      <c r="E73" s="64" t="str">
        <f t="shared" si="3"/>
        <v>..</v>
      </c>
      <c r="F73" s="64" t="str">
        <f t="shared" si="3"/>
        <v>..</v>
      </c>
      <c r="G73" s="64" t="str">
        <f t="shared" si="3"/>
        <v>..</v>
      </c>
      <c r="H73" s="68" t="str">
        <f t="shared" si="3"/>
        <v>..</v>
      </c>
    </row>
    <row r="74" spans="2:8">
      <c r="B74" s="66" t="str">
        <f t="shared" si="2"/>
        <v>..</v>
      </c>
      <c r="C74" s="54" t="str">
        <f t="shared" si="3"/>
        <v>..</v>
      </c>
      <c r="D74" s="54" t="str">
        <f t="shared" si="3"/>
        <v>..</v>
      </c>
      <c r="E74" s="54" t="str">
        <f t="shared" si="3"/>
        <v>..</v>
      </c>
      <c r="F74" s="54" t="str">
        <f t="shared" si="3"/>
        <v>..</v>
      </c>
      <c r="G74" s="54" t="str">
        <f t="shared" si="3"/>
        <v>..</v>
      </c>
      <c r="H74" s="67" t="str">
        <f t="shared" si="3"/>
        <v>..</v>
      </c>
    </row>
    <row r="75" spans="2:8">
      <c r="B75" s="63" t="str">
        <f t="shared" si="2"/>
        <v>..</v>
      </c>
      <c r="C75" s="64" t="str">
        <f t="shared" si="3"/>
        <v>..</v>
      </c>
      <c r="D75" s="64" t="str">
        <f t="shared" si="3"/>
        <v>..</v>
      </c>
      <c r="E75" s="64" t="str">
        <f t="shared" si="3"/>
        <v>..</v>
      </c>
      <c r="F75" s="64" t="str">
        <f t="shared" si="3"/>
        <v>..</v>
      </c>
      <c r="G75" s="64" t="str">
        <f t="shared" si="3"/>
        <v>..</v>
      </c>
      <c r="H75" s="68" t="str">
        <f t="shared" si="3"/>
        <v>..</v>
      </c>
    </row>
    <row r="76" spans="2:8">
      <c r="B76" s="66" t="str">
        <f t="shared" si="2"/>
        <v>..</v>
      </c>
      <c r="C76" s="54" t="str">
        <f t="shared" si="3"/>
        <v>..</v>
      </c>
      <c r="D76" s="54" t="str">
        <f t="shared" si="3"/>
        <v>..</v>
      </c>
      <c r="E76" s="54" t="str">
        <f t="shared" si="3"/>
        <v>..</v>
      </c>
      <c r="F76" s="54" t="str">
        <f t="shared" si="3"/>
        <v>..</v>
      </c>
      <c r="G76" s="54" t="str">
        <f t="shared" si="3"/>
        <v>..</v>
      </c>
      <c r="H76" s="67" t="str">
        <f t="shared" si="3"/>
        <v>..</v>
      </c>
    </row>
    <row r="77" spans="2:8">
      <c r="B77" s="69" t="s">
        <v>29</v>
      </c>
      <c r="C77" s="70">
        <f>SUM(C59/H59)</f>
        <v>0.33810792804796802</v>
      </c>
      <c r="D77" s="70">
        <f>SUM(D59/H59)</f>
        <v>0.18421052631578946</v>
      </c>
      <c r="E77" s="70">
        <f>SUM(E59/H59)</f>
        <v>0.32478347768154564</v>
      </c>
      <c r="F77" s="70">
        <f>SUM(F59/H59)</f>
        <v>0.13590939373750832</v>
      </c>
      <c r="G77" s="70">
        <f>SUM(G59/H59)</f>
        <v>1.7988007994670221E-2</v>
      </c>
      <c r="H77" s="71">
        <f>H59</f>
        <v>3002</v>
      </c>
    </row>
    <row r="78" spans="2:8">
      <c r="B78" s="72" t="s">
        <v>30</v>
      </c>
      <c r="C78" s="73" t="s">
        <v>94</v>
      </c>
      <c r="D78" s="73">
        <f>SUM(D60/H60)</f>
        <v>0.17391304347826086</v>
      </c>
      <c r="E78" s="73">
        <f>SUM(E60/H60)</f>
        <v>0.47826086956521741</v>
      </c>
      <c r="F78" s="73">
        <f>SUM(F60/H60)</f>
        <v>0.47826086956521741</v>
      </c>
      <c r="G78" s="73" t="s">
        <v>94</v>
      </c>
      <c r="H78" s="74">
        <f>C19</f>
        <v>23</v>
      </c>
    </row>
    <row r="79" spans="2:8">
      <c r="B79" s="75" t="s">
        <v>31</v>
      </c>
      <c r="C79" s="76" t="s">
        <v>94</v>
      </c>
      <c r="D79" s="76">
        <f>SUM(D61/H61)</f>
        <v>0.17647058823529413</v>
      </c>
      <c r="E79" s="76">
        <f>SUM(E61/H61)</f>
        <v>0.35294117647058826</v>
      </c>
      <c r="F79" s="76">
        <f>SUM(F61/H61)</f>
        <v>0.17647058823529413</v>
      </c>
      <c r="G79" s="76">
        <f>SUM(G61/H61)</f>
        <v>0.23529411764705882</v>
      </c>
      <c r="H79" s="77">
        <f>C20</f>
        <v>17</v>
      </c>
    </row>
    <row r="82" spans="2:8" ht="23.25">
      <c r="B82" s="127" t="s">
        <v>811</v>
      </c>
    </row>
    <row r="83" spans="2:8" ht="15.75">
      <c r="B83" s="150" t="s">
        <v>844</v>
      </c>
    </row>
    <row r="84" spans="2:8">
      <c r="B84" s="149" t="s">
        <v>845</v>
      </c>
    </row>
    <row r="85" spans="2:8">
      <c r="B85" s="151" t="s">
        <v>14</v>
      </c>
      <c r="C85" s="152" t="s">
        <v>32</v>
      </c>
      <c r="D85" s="152" t="s">
        <v>33</v>
      </c>
      <c r="E85" s="152" t="s">
        <v>34</v>
      </c>
      <c r="F85" s="152" t="s">
        <v>35</v>
      </c>
      <c r="G85" s="152">
        <v>2016</v>
      </c>
      <c r="H85" s="153" t="s">
        <v>28</v>
      </c>
    </row>
    <row r="86" spans="2:8">
      <c r="B86" s="154" t="s">
        <v>73</v>
      </c>
      <c r="C86" s="155">
        <v>0</v>
      </c>
      <c r="D86" s="155">
        <v>0</v>
      </c>
      <c r="E86" s="155">
        <v>0</v>
      </c>
      <c r="F86" s="156">
        <v>14</v>
      </c>
      <c r="G86" s="155">
        <v>0</v>
      </c>
      <c r="H86" s="157">
        <v>15</v>
      </c>
    </row>
    <row r="87" spans="2:8">
      <c r="B87" s="66" t="s">
        <v>92</v>
      </c>
      <c r="C87" s="158">
        <v>4</v>
      </c>
      <c r="D87" s="158">
        <v>0</v>
      </c>
      <c r="E87" s="158">
        <v>0</v>
      </c>
      <c r="F87" s="159">
        <v>3</v>
      </c>
      <c r="G87" s="158">
        <v>0</v>
      </c>
      <c r="H87" s="160">
        <v>7</v>
      </c>
    </row>
    <row r="88" spans="2:8">
      <c r="B88" s="63" t="s">
        <v>131</v>
      </c>
      <c r="C88" s="155">
        <v>0</v>
      </c>
      <c r="D88" s="155">
        <v>0</v>
      </c>
      <c r="E88" s="155">
        <v>0</v>
      </c>
      <c r="F88" s="156">
        <v>0</v>
      </c>
      <c r="G88" s="155">
        <v>0</v>
      </c>
      <c r="H88" s="161">
        <v>3</v>
      </c>
    </row>
    <row r="89" spans="2:8">
      <c r="B89" s="162" t="s">
        <v>83</v>
      </c>
      <c r="C89" s="158">
        <v>0</v>
      </c>
      <c r="D89" s="158">
        <v>0</v>
      </c>
      <c r="E89" s="158">
        <v>0</v>
      </c>
      <c r="F89" s="159">
        <v>0</v>
      </c>
      <c r="G89" s="158">
        <v>0</v>
      </c>
      <c r="H89" s="160">
        <v>3</v>
      </c>
    </row>
    <row r="90" spans="2:8">
      <c r="B90" s="154" t="s">
        <v>88</v>
      </c>
      <c r="C90" s="155">
        <v>0</v>
      </c>
      <c r="D90" s="155">
        <v>0</v>
      </c>
      <c r="E90" s="155">
        <v>0</v>
      </c>
      <c r="F90" s="156">
        <v>3</v>
      </c>
      <c r="G90" s="155">
        <v>0</v>
      </c>
      <c r="H90" s="161">
        <v>3</v>
      </c>
    </row>
    <row r="91" spans="2:8">
      <c r="B91" s="66" t="s">
        <v>94</v>
      </c>
      <c r="C91" s="106" t="s">
        <v>94</v>
      </c>
      <c r="D91" s="106" t="s">
        <v>94</v>
      </c>
      <c r="E91" s="106" t="s">
        <v>94</v>
      </c>
      <c r="F91" s="238" t="s">
        <v>94</v>
      </c>
      <c r="G91" s="106" t="s">
        <v>94</v>
      </c>
      <c r="H91" s="67" t="s">
        <v>94</v>
      </c>
    </row>
    <row r="92" spans="2:8">
      <c r="B92" s="63" t="s">
        <v>94</v>
      </c>
      <c r="C92" s="103" t="s">
        <v>94</v>
      </c>
      <c r="D92" s="103" t="s">
        <v>94</v>
      </c>
      <c r="E92" s="103" t="s">
        <v>94</v>
      </c>
      <c r="F92" s="241" t="s">
        <v>94</v>
      </c>
      <c r="G92" s="103" t="s">
        <v>94</v>
      </c>
      <c r="H92" s="68" t="s">
        <v>94</v>
      </c>
    </row>
    <row r="93" spans="2:8">
      <c r="B93" s="162" t="s">
        <v>94</v>
      </c>
      <c r="C93" s="106" t="s">
        <v>94</v>
      </c>
      <c r="D93" s="106" t="s">
        <v>94</v>
      </c>
      <c r="E93" s="106" t="s">
        <v>94</v>
      </c>
      <c r="F93" s="238" t="s">
        <v>94</v>
      </c>
      <c r="G93" s="106" t="s">
        <v>94</v>
      </c>
      <c r="H93" s="67" t="s">
        <v>94</v>
      </c>
    </row>
    <row r="94" spans="2:8">
      <c r="B94" s="63" t="s">
        <v>94</v>
      </c>
      <c r="C94" s="103" t="s">
        <v>94</v>
      </c>
      <c r="D94" s="103" t="s">
        <v>94</v>
      </c>
      <c r="E94" s="103" t="s">
        <v>94</v>
      </c>
      <c r="F94" s="241" t="s">
        <v>94</v>
      </c>
      <c r="G94" s="103" t="s">
        <v>94</v>
      </c>
      <c r="H94" s="68" t="s">
        <v>94</v>
      </c>
    </row>
    <row r="95" spans="2:8">
      <c r="B95" s="162" t="s">
        <v>94</v>
      </c>
      <c r="C95" s="106" t="s">
        <v>94</v>
      </c>
      <c r="D95" s="106" t="s">
        <v>94</v>
      </c>
      <c r="E95" s="106" t="s">
        <v>94</v>
      </c>
      <c r="F95" s="238" t="s">
        <v>94</v>
      </c>
      <c r="G95" s="106" t="s">
        <v>94</v>
      </c>
      <c r="H95" s="67" t="s">
        <v>94</v>
      </c>
    </row>
    <row r="96" spans="2:8">
      <c r="B96" s="72" t="s">
        <v>30</v>
      </c>
      <c r="C96" s="142">
        <v>7</v>
      </c>
      <c r="D96" s="142">
        <v>3</v>
      </c>
      <c r="E96" s="142" t="s">
        <v>94</v>
      </c>
      <c r="F96" s="142">
        <v>14</v>
      </c>
      <c r="G96" s="142" t="s">
        <v>94</v>
      </c>
      <c r="H96" s="74">
        <f>C19</f>
        <v>23</v>
      </c>
    </row>
    <row r="97" spans="2:20">
      <c r="B97" s="75" t="s">
        <v>31</v>
      </c>
      <c r="C97" s="1132" t="s">
        <v>94</v>
      </c>
      <c r="D97" s="1132" t="s">
        <v>94</v>
      </c>
      <c r="E97" s="1132" t="s">
        <v>94</v>
      </c>
      <c r="F97" s="1132">
        <v>10</v>
      </c>
      <c r="G97" s="1132" t="s">
        <v>94</v>
      </c>
      <c r="H97" s="77">
        <f>C20</f>
        <v>17</v>
      </c>
    </row>
    <row r="98" spans="2:20" ht="23.25">
      <c r="B98" s="127"/>
    </row>
    <row r="99" spans="2:20" ht="23.25">
      <c r="B99" s="127" t="s">
        <v>812</v>
      </c>
    </row>
    <row r="100" spans="2:20" ht="15.75">
      <c r="B100" s="150" t="s">
        <v>846</v>
      </c>
    </row>
    <row r="101" spans="2:20">
      <c r="B101" s="149" t="s">
        <v>845</v>
      </c>
      <c r="J101" s="169"/>
      <c r="K101" s="170"/>
      <c r="L101" s="170"/>
      <c r="M101" s="170"/>
      <c r="N101" s="170"/>
    </row>
    <row r="102" spans="2:20">
      <c r="B102" s="920" t="s">
        <v>14</v>
      </c>
      <c r="C102" s="921" t="s">
        <v>32</v>
      </c>
      <c r="D102" s="921" t="s">
        <v>33</v>
      </c>
      <c r="E102" s="921" t="s">
        <v>34</v>
      </c>
      <c r="F102" s="921" t="s">
        <v>35</v>
      </c>
      <c r="G102" s="921">
        <v>2016</v>
      </c>
      <c r="H102" s="922" t="s">
        <v>28</v>
      </c>
      <c r="J102" s="169"/>
      <c r="K102" s="170"/>
      <c r="L102" s="170"/>
      <c r="M102" s="170"/>
      <c r="N102" s="170"/>
    </row>
    <row r="103" spans="2:20">
      <c r="B103" s="63" t="str">
        <f t="shared" ref="B103:B112" si="4">B86</f>
        <v>New Zealand</v>
      </c>
      <c r="C103" s="64">
        <f>SUM(C86/H86)</f>
        <v>0</v>
      </c>
      <c r="D103" s="64">
        <f>SUM(D86/H86)</f>
        <v>0</v>
      </c>
      <c r="E103" s="64">
        <f>SUM(E86/H86)</f>
        <v>0</v>
      </c>
      <c r="F103" s="64">
        <f>SUM(F86/H86)</f>
        <v>0.93333333333333335</v>
      </c>
      <c r="G103" s="64">
        <f>SUM(G86/H86)</f>
        <v>0</v>
      </c>
      <c r="H103" s="161">
        <f t="shared" ref="H103:H108" si="5">H86</f>
        <v>15</v>
      </c>
      <c r="J103" s="169"/>
      <c r="K103" s="170"/>
      <c r="L103" s="170"/>
      <c r="M103" s="170"/>
      <c r="N103" s="170"/>
    </row>
    <row r="104" spans="2:20">
      <c r="B104" s="66" t="str">
        <f t="shared" si="4"/>
        <v>England</v>
      </c>
      <c r="C104" s="54">
        <f>SUM(C87/H87)</f>
        <v>0.5714285714285714</v>
      </c>
      <c r="D104" s="54">
        <f>SUM(D87/H87)</f>
        <v>0</v>
      </c>
      <c r="E104" s="54">
        <f>SUM(E87/H87)</f>
        <v>0</v>
      </c>
      <c r="F104" s="54">
        <f>SUM(F87/H87)</f>
        <v>0.42857142857142855</v>
      </c>
      <c r="G104" s="54">
        <f>SUM(G87/H87)</f>
        <v>0</v>
      </c>
      <c r="H104" s="160">
        <f t="shared" si="5"/>
        <v>7</v>
      </c>
      <c r="J104" s="169"/>
      <c r="K104" s="170"/>
      <c r="L104" s="170"/>
      <c r="M104" s="170"/>
      <c r="N104" s="170"/>
    </row>
    <row r="105" spans="2:20">
      <c r="B105" s="63" t="str">
        <f t="shared" si="4"/>
        <v>Scotland</v>
      </c>
      <c r="C105" s="64">
        <f>SUM(C88/H88)</f>
        <v>0</v>
      </c>
      <c r="D105" s="64">
        <f>SUM(D88/H88)</f>
        <v>0</v>
      </c>
      <c r="E105" s="64">
        <f>SUM(E88/H88)</f>
        <v>0</v>
      </c>
      <c r="F105" s="64">
        <f>SUM(F88/H88)</f>
        <v>0</v>
      </c>
      <c r="G105" s="64">
        <f>SUM(G88/H88)</f>
        <v>0</v>
      </c>
      <c r="H105" s="161">
        <f t="shared" si="5"/>
        <v>3</v>
      </c>
      <c r="J105" s="169"/>
      <c r="K105" s="170"/>
      <c r="L105" s="170"/>
      <c r="M105" s="170"/>
      <c r="N105" s="170"/>
    </row>
    <row r="106" spans="2:20">
      <c r="B106" s="66" t="str">
        <f t="shared" si="4"/>
        <v>Ireland</v>
      </c>
      <c r="C106" s="54">
        <f>SUM(C89/H89)</f>
        <v>0</v>
      </c>
      <c r="D106" s="54">
        <f>SUM(D89/H89)</f>
        <v>0</v>
      </c>
      <c r="E106" s="54">
        <f>SUM(E89/H89)</f>
        <v>0</v>
      </c>
      <c r="F106" s="54">
        <f>SUM(F89/H89)</f>
        <v>0</v>
      </c>
      <c r="G106" s="54">
        <f>SUM(G89/H89)</f>
        <v>0</v>
      </c>
      <c r="H106" s="160">
        <f t="shared" si="5"/>
        <v>3</v>
      </c>
      <c r="J106" s="169"/>
      <c r="K106" s="170"/>
      <c r="L106" s="170"/>
      <c r="M106" s="170"/>
      <c r="N106" s="170"/>
    </row>
    <row r="107" spans="2:20">
      <c r="B107" s="63" t="str">
        <f t="shared" si="4"/>
        <v>Korea, Republic of (South)</v>
      </c>
      <c r="C107" s="64">
        <f>SUM(C90/H90)</f>
        <v>0</v>
      </c>
      <c r="D107" s="64">
        <f>SUM(D90/H90)</f>
        <v>0</v>
      </c>
      <c r="E107" s="64">
        <f>SUM(E90/H90)</f>
        <v>0</v>
      </c>
      <c r="F107" s="64">
        <f>SUM(F90/H90)</f>
        <v>1</v>
      </c>
      <c r="G107" s="64">
        <f>SUM(G90/H90)</f>
        <v>0</v>
      </c>
      <c r="H107" s="161">
        <f t="shared" si="5"/>
        <v>3</v>
      </c>
      <c r="J107" s="169"/>
      <c r="K107" s="170"/>
      <c r="L107" s="170"/>
      <c r="M107" s="170"/>
      <c r="N107" s="170"/>
    </row>
    <row r="108" spans="2:20">
      <c r="B108" s="66" t="str">
        <f t="shared" si="4"/>
        <v>..</v>
      </c>
      <c r="C108" s="54" t="str">
        <f t="shared" ref="C108:G113" si="6">IFERROR(C91/$H$91,"..")</f>
        <v>..</v>
      </c>
      <c r="D108" s="54" t="str">
        <f t="shared" si="6"/>
        <v>..</v>
      </c>
      <c r="E108" s="54" t="str">
        <f t="shared" si="6"/>
        <v>..</v>
      </c>
      <c r="F108" s="54" t="str">
        <f t="shared" si="6"/>
        <v>..</v>
      </c>
      <c r="G108" s="54" t="str">
        <f t="shared" si="6"/>
        <v>..</v>
      </c>
      <c r="H108" s="67" t="str">
        <f t="shared" si="5"/>
        <v>..</v>
      </c>
      <c r="J108" s="169"/>
      <c r="K108" s="170"/>
      <c r="L108" s="170"/>
      <c r="M108" s="170"/>
      <c r="N108" s="170"/>
    </row>
    <row r="109" spans="2:20">
      <c r="B109" s="63" t="str">
        <f t="shared" si="4"/>
        <v>..</v>
      </c>
      <c r="C109" s="64" t="str">
        <f t="shared" si="6"/>
        <v>..</v>
      </c>
      <c r="D109" s="64" t="str">
        <f t="shared" si="6"/>
        <v>..</v>
      </c>
      <c r="E109" s="64" t="str">
        <f t="shared" si="6"/>
        <v>..</v>
      </c>
      <c r="F109" s="64" t="str">
        <f t="shared" si="6"/>
        <v>..</v>
      </c>
      <c r="G109" s="64" t="str">
        <f t="shared" si="6"/>
        <v>..</v>
      </c>
      <c r="H109" s="68" t="s">
        <v>94</v>
      </c>
      <c r="O109" s="170"/>
      <c r="P109" s="170"/>
      <c r="Q109" s="170"/>
      <c r="R109" s="170"/>
      <c r="S109" s="170"/>
      <c r="T109" s="170"/>
    </row>
    <row r="110" spans="2:20">
      <c r="B110" s="66" t="str">
        <f t="shared" si="4"/>
        <v>..</v>
      </c>
      <c r="C110" s="54" t="str">
        <f t="shared" si="6"/>
        <v>..</v>
      </c>
      <c r="D110" s="54" t="str">
        <f t="shared" si="6"/>
        <v>..</v>
      </c>
      <c r="E110" s="54" t="str">
        <f t="shared" si="6"/>
        <v>..</v>
      </c>
      <c r="F110" s="54" t="str">
        <f t="shared" si="6"/>
        <v>..</v>
      </c>
      <c r="G110" s="54" t="str">
        <f t="shared" si="6"/>
        <v>..</v>
      </c>
      <c r="H110" s="67" t="str">
        <f>H93</f>
        <v>..</v>
      </c>
    </row>
    <row r="111" spans="2:20">
      <c r="B111" s="63" t="str">
        <f t="shared" si="4"/>
        <v>..</v>
      </c>
      <c r="C111" s="64" t="str">
        <f t="shared" si="6"/>
        <v>..</v>
      </c>
      <c r="D111" s="64" t="str">
        <f t="shared" si="6"/>
        <v>..</v>
      </c>
      <c r="E111" s="64" t="str">
        <f t="shared" si="6"/>
        <v>..</v>
      </c>
      <c r="F111" s="64" t="str">
        <f t="shared" si="6"/>
        <v>..</v>
      </c>
      <c r="G111" s="64" t="str">
        <f t="shared" si="6"/>
        <v>..</v>
      </c>
      <c r="H111" s="68" t="str">
        <f>H94</f>
        <v>..</v>
      </c>
    </row>
    <row r="112" spans="2:20">
      <c r="B112" s="81" t="str">
        <f t="shared" si="4"/>
        <v>..</v>
      </c>
      <c r="C112" s="82" t="str">
        <f t="shared" si="6"/>
        <v>..</v>
      </c>
      <c r="D112" s="82" t="str">
        <f t="shared" si="6"/>
        <v>..</v>
      </c>
      <c r="E112" s="82" t="str">
        <f t="shared" si="6"/>
        <v>..</v>
      </c>
      <c r="F112" s="82" t="str">
        <f t="shared" si="6"/>
        <v>..</v>
      </c>
      <c r="G112" s="82" t="str">
        <f t="shared" si="6"/>
        <v>..</v>
      </c>
      <c r="H112" s="1182" t="str">
        <f>H95</f>
        <v>..</v>
      </c>
    </row>
    <row r="113" spans="2:8">
      <c r="B113" s="72" t="s">
        <v>30</v>
      </c>
      <c r="C113" s="73" t="str">
        <f t="shared" si="6"/>
        <v>..</v>
      </c>
      <c r="D113" s="73" t="str">
        <f t="shared" si="6"/>
        <v>..</v>
      </c>
      <c r="E113" s="73" t="str">
        <f t="shared" si="6"/>
        <v>..</v>
      </c>
      <c r="F113" s="73" t="str">
        <f t="shared" si="6"/>
        <v>..</v>
      </c>
      <c r="G113" s="73" t="str">
        <f t="shared" si="6"/>
        <v>..</v>
      </c>
      <c r="H113" s="74">
        <f>C19</f>
        <v>23</v>
      </c>
    </row>
    <row r="114" spans="2:8">
      <c r="B114" s="75" t="s">
        <v>31</v>
      </c>
      <c r="C114" s="76">
        <f>SUM(C96/H96)</f>
        <v>0.30434782608695654</v>
      </c>
      <c r="D114" s="76">
        <f>SUM(D96/H96)</f>
        <v>0.13043478260869565</v>
      </c>
      <c r="E114" s="76" t="str">
        <f>IFERROR(E96/H96,"..")</f>
        <v>..</v>
      </c>
      <c r="F114" s="76">
        <f>SUM(F96/H96)</f>
        <v>0.60869565217391308</v>
      </c>
      <c r="G114" s="76" t="str">
        <f>IFERROR(G96/H96,"..")</f>
        <v>..</v>
      </c>
      <c r="H114" s="1183">
        <f>C20</f>
        <v>17</v>
      </c>
    </row>
    <row r="117" spans="2:8" ht="23.25">
      <c r="B117" s="127" t="s">
        <v>813</v>
      </c>
    </row>
    <row r="118" spans="2:8" ht="15.75">
      <c r="B118" s="150" t="s">
        <v>330</v>
      </c>
    </row>
    <row r="119" spans="2:8" ht="25.5">
      <c r="B119" s="173" t="s">
        <v>36</v>
      </c>
      <c r="C119" s="173" t="s">
        <v>37</v>
      </c>
      <c r="D119" s="173" t="s">
        <v>38</v>
      </c>
      <c r="E119" s="173" t="s">
        <v>6</v>
      </c>
      <c r="F119" s="173" t="s">
        <v>39</v>
      </c>
      <c r="G119" s="173" t="s">
        <v>7</v>
      </c>
      <c r="H119" s="173" t="s">
        <v>40</v>
      </c>
    </row>
    <row r="120" spans="2:8">
      <c r="B120" s="155" t="s">
        <v>95</v>
      </c>
      <c r="C120" s="103">
        <v>1234</v>
      </c>
      <c r="D120" s="103">
        <v>1282</v>
      </c>
      <c r="E120" s="103">
        <v>2517</v>
      </c>
      <c r="F120" s="64">
        <f>IFERROR(Table792226894100118130136142[[#This Row],[Persons]]/$C$23,"..")</f>
        <v>0.98977585528902867</v>
      </c>
      <c r="G120" s="103" t="s">
        <v>94</v>
      </c>
      <c r="H120" s="64" t="str">
        <f t="shared" ref="H120:H130" si="7">IFERROR(((E120-G120)/G120),"..")</f>
        <v>..</v>
      </c>
    </row>
    <row r="121" spans="2:8">
      <c r="B121" s="158" t="s">
        <v>190</v>
      </c>
      <c r="C121" s="106">
        <v>0</v>
      </c>
      <c r="D121" s="106">
        <v>0</v>
      </c>
      <c r="E121" s="106">
        <v>5</v>
      </c>
      <c r="F121" s="54">
        <f>IFERROR(Table792226894100118130136142[[#This Row],[Persons]]/$C$23,"..")</f>
        <v>1.9661816751867871E-3</v>
      </c>
      <c r="G121" s="106" t="s">
        <v>94</v>
      </c>
      <c r="H121" s="54" t="str">
        <f t="shared" si="7"/>
        <v>..</v>
      </c>
    </row>
    <row r="122" spans="2:8">
      <c r="B122" s="155" t="s">
        <v>208</v>
      </c>
      <c r="C122" s="103">
        <v>0</v>
      </c>
      <c r="D122" s="103">
        <v>5</v>
      </c>
      <c r="E122" s="103">
        <v>4</v>
      </c>
      <c r="F122" s="64">
        <f>IFERROR(Table792226894100118130136142[[#This Row],[Persons]]/$C$23,"..")</f>
        <v>1.5729453401494297E-3</v>
      </c>
      <c r="G122" s="103" t="s">
        <v>94</v>
      </c>
      <c r="H122" s="64" t="str">
        <f t="shared" si="7"/>
        <v>..</v>
      </c>
    </row>
    <row r="123" spans="2:8">
      <c r="B123" s="158" t="s">
        <v>146</v>
      </c>
      <c r="C123" s="106">
        <v>0</v>
      </c>
      <c r="D123" s="106">
        <v>5</v>
      </c>
      <c r="E123" s="106">
        <v>4</v>
      </c>
      <c r="F123" s="54">
        <f>IFERROR(Table792226894100118130136142[[#This Row],[Persons]]/$C$23,"..")</f>
        <v>1.5729453401494297E-3</v>
      </c>
      <c r="G123" s="106" t="s">
        <v>94</v>
      </c>
      <c r="H123" s="54" t="str">
        <f t="shared" si="7"/>
        <v>..</v>
      </c>
    </row>
    <row r="124" spans="2:8">
      <c r="B124" s="155" t="s">
        <v>196</v>
      </c>
      <c r="C124" s="103">
        <v>0</v>
      </c>
      <c r="D124" s="103">
        <v>4</v>
      </c>
      <c r="E124" s="103">
        <v>4</v>
      </c>
      <c r="F124" s="64">
        <f>IFERROR(Table792226894100118130136142[[#This Row],[Persons]]/$C$23,"..")</f>
        <v>1.5729453401494297E-3</v>
      </c>
      <c r="G124" s="103" t="s">
        <v>94</v>
      </c>
      <c r="H124" s="64" t="str">
        <f t="shared" si="7"/>
        <v>..</v>
      </c>
    </row>
    <row r="125" spans="2:8">
      <c r="B125" s="158" t="s">
        <v>109</v>
      </c>
      <c r="C125" s="106">
        <v>0</v>
      </c>
      <c r="D125" s="106">
        <v>0</v>
      </c>
      <c r="E125" s="106">
        <v>3</v>
      </c>
      <c r="F125" s="54">
        <f>IFERROR(Table792226894100118130136142[[#This Row],[Persons]]/$C$23,"..")</f>
        <v>1.1797090051120724E-3</v>
      </c>
      <c r="G125" s="106" t="s">
        <v>94</v>
      </c>
      <c r="H125" s="54" t="str">
        <f t="shared" si="7"/>
        <v>..</v>
      </c>
    </row>
    <row r="126" spans="2:8">
      <c r="B126" s="645" t="s">
        <v>94</v>
      </c>
      <c r="C126" s="103" t="s">
        <v>94</v>
      </c>
      <c r="D126" s="103" t="s">
        <v>94</v>
      </c>
      <c r="E126" s="103" t="s">
        <v>94</v>
      </c>
      <c r="F126" s="64" t="str">
        <f>IFERROR(Table792226894100118130136142[[#This Row],[Persons]]/$C$23,"..")</f>
        <v>..</v>
      </c>
      <c r="G126" s="103" t="s">
        <v>94</v>
      </c>
      <c r="H126" s="64" t="str">
        <f t="shared" si="7"/>
        <v>..</v>
      </c>
    </row>
    <row r="127" spans="2:8">
      <c r="B127" s="646" t="s">
        <v>94</v>
      </c>
      <c r="C127" s="106" t="s">
        <v>94</v>
      </c>
      <c r="D127" s="106" t="s">
        <v>94</v>
      </c>
      <c r="E127" s="106" t="s">
        <v>94</v>
      </c>
      <c r="F127" s="54" t="str">
        <f>IFERROR(Table792226894100118130136142[[#This Row],[Persons]]/$C$23,"..")</f>
        <v>..</v>
      </c>
      <c r="G127" s="106" t="s">
        <v>94</v>
      </c>
      <c r="H127" s="54" t="str">
        <f t="shared" si="7"/>
        <v>..</v>
      </c>
    </row>
    <row r="128" spans="2:8">
      <c r="B128" s="645" t="s">
        <v>94</v>
      </c>
      <c r="C128" s="103" t="s">
        <v>94</v>
      </c>
      <c r="D128" s="103" t="s">
        <v>94</v>
      </c>
      <c r="E128" s="103" t="s">
        <v>94</v>
      </c>
      <c r="F128" s="64" t="str">
        <f>IFERROR(Table792226894100118130136142[[#This Row],[Persons]]/$C$23,"..")</f>
        <v>..</v>
      </c>
      <c r="G128" s="103" t="s">
        <v>94</v>
      </c>
      <c r="H128" s="64" t="str">
        <f t="shared" si="7"/>
        <v>..</v>
      </c>
    </row>
    <row r="129" spans="2:9">
      <c r="B129" s="646" t="s">
        <v>94</v>
      </c>
      <c r="C129" s="106" t="s">
        <v>94</v>
      </c>
      <c r="D129" s="106" t="s">
        <v>94</v>
      </c>
      <c r="E129" s="106" t="s">
        <v>94</v>
      </c>
      <c r="F129" s="54" t="str">
        <f>IFERROR(Table792226894100118130136142[[#This Row],[Persons]]/$C$23,"..")</f>
        <v>..</v>
      </c>
      <c r="G129" s="106" t="s">
        <v>94</v>
      </c>
      <c r="H129" s="54" t="str">
        <f t="shared" si="7"/>
        <v>..</v>
      </c>
    </row>
    <row r="130" spans="2:9">
      <c r="B130" s="158" t="s">
        <v>127</v>
      </c>
      <c r="C130" s="106">
        <f>Table792226894100118130136142[[#Totals],[Males]]-SUM(C120:C129)</f>
        <v>8</v>
      </c>
      <c r="D130" s="106">
        <f>Table792226894100118130136142[[#Totals],[Females]]-SUM(D120:D129)</f>
        <v>0</v>
      </c>
      <c r="E130" s="106">
        <f>Table792226894100118130136142[[#Totals],[Persons]]-SUM(E120:E129)</f>
        <v>6</v>
      </c>
      <c r="F130" s="54">
        <f>IFERROR(Table792226894100118130136142[[#This Row],[Persons]]/$C$23,"..")</f>
        <v>2.3594180102241447E-3</v>
      </c>
      <c r="G130" s="106" t="s">
        <v>94</v>
      </c>
      <c r="H130" s="54" t="str">
        <f t="shared" si="7"/>
        <v>..</v>
      </c>
    </row>
    <row r="131" spans="2:9">
      <c r="B131" s="284" t="s">
        <v>872</v>
      </c>
      <c r="C131" s="175" t="s">
        <v>239</v>
      </c>
      <c r="D131" s="175" t="s">
        <v>240</v>
      </c>
      <c r="E131" s="176" t="s">
        <v>241</v>
      </c>
      <c r="F131" s="177" t="s">
        <v>22</v>
      </c>
      <c r="G131" s="176" t="str">
        <f>E23</f>
        <v>..</v>
      </c>
      <c r="H131" s="1184" t="s">
        <v>94</v>
      </c>
    </row>
    <row r="132" spans="2:9">
      <c r="B132" s="389" t="s">
        <v>873</v>
      </c>
      <c r="C132" s="180"/>
      <c r="D132" s="180"/>
      <c r="E132" s="180"/>
      <c r="F132" s="181"/>
      <c r="G132" s="180"/>
      <c r="H132" s="180"/>
      <c r="I132" s="182"/>
    </row>
    <row r="133" spans="2:9">
      <c r="B133" s="183"/>
      <c r="C133" s="183"/>
      <c r="D133" s="183"/>
      <c r="E133" s="183"/>
      <c r="F133" s="174"/>
      <c r="G133" s="553"/>
      <c r="H133" s="183"/>
      <c r="I133" s="183"/>
    </row>
    <row r="134" spans="2:9" ht="23.25">
      <c r="B134" s="127" t="s">
        <v>814</v>
      </c>
    </row>
    <row r="135" spans="2:9" ht="15.75">
      <c r="B135" s="150" t="s">
        <v>825</v>
      </c>
    </row>
    <row r="136" spans="2:9">
      <c r="B136" s="140" t="s">
        <v>36</v>
      </c>
      <c r="C136" s="145" t="s">
        <v>42</v>
      </c>
      <c r="D136" s="145" t="s">
        <v>43</v>
      </c>
      <c r="E136" s="145" t="s">
        <v>44</v>
      </c>
      <c r="F136" s="145" t="s">
        <v>45</v>
      </c>
      <c r="G136" s="145" t="s">
        <v>46</v>
      </c>
      <c r="H136" s="145" t="s">
        <v>28</v>
      </c>
    </row>
    <row r="137" spans="2:9">
      <c r="B137" s="185" t="s">
        <v>95</v>
      </c>
      <c r="C137" s="186"/>
      <c r="D137" s="186"/>
      <c r="E137" s="186"/>
      <c r="F137" s="186"/>
      <c r="G137" s="186"/>
      <c r="H137" s="187"/>
    </row>
    <row r="138" spans="2:9">
      <c r="B138" s="188" t="s">
        <v>48</v>
      </c>
      <c r="C138" s="238">
        <v>530</v>
      </c>
      <c r="D138" s="238">
        <v>379</v>
      </c>
      <c r="E138" s="238">
        <v>581</v>
      </c>
      <c r="F138" s="238">
        <v>282</v>
      </c>
      <c r="G138" s="238">
        <v>35</v>
      </c>
      <c r="H138" s="210">
        <v>1800</v>
      </c>
    </row>
    <row r="139" spans="2:9">
      <c r="B139" s="191" t="s">
        <v>49</v>
      </c>
      <c r="C139" s="241">
        <v>362</v>
      </c>
      <c r="D139" s="241">
        <v>131</v>
      </c>
      <c r="E139" s="241">
        <v>137</v>
      </c>
      <c r="F139" s="241">
        <v>45</v>
      </c>
      <c r="G139" s="241">
        <v>10</v>
      </c>
      <c r="H139" s="208">
        <v>689</v>
      </c>
    </row>
    <row r="140" spans="2:9">
      <c r="B140" s="188" t="s">
        <v>50</v>
      </c>
      <c r="C140" s="238">
        <v>903</v>
      </c>
      <c r="D140" s="238">
        <v>515</v>
      </c>
      <c r="E140" s="238">
        <v>721</v>
      </c>
      <c r="F140" s="238">
        <v>330</v>
      </c>
      <c r="G140" s="238">
        <v>45</v>
      </c>
      <c r="H140" s="210">
        <v>2517</v>
      </c>
    </row>
    <row r="141" spans="2:9">
      <c r="B141" s="194" t="s">
        <v>51</v>
      </c>
      <c r="C141" s="96">
        <f>IFERROR(C139/$H$140,"-")</f>
        <v>0.14382201032975764</v>
      </c>
      <c r="D141" s="96">
        <f t="shared" ref="D141:G141" si="8">IFERROR(D139/$H$140,"-")</f>
        <v>5.2046086611044894E-2</v>
      </c>
      <c r="E141" s="96">
        <f t="shared" si="8"/>
        <v>5.4429876837504963E-2</v>
      </c>
      <c r="F141" s="96">
        <f t="shared" si="8"/>
        <v>1.7878426698450536E-2</v>
      </c>
      <c r="G141" s="96">
        <f t="shared" si="8"/>
        <v>3.9729837107667859E-3</v>
      </c>
      <c r="H141" s="97">
        <f>IFERROR(H139/$H$140,"-")</f>
        <v>0.27373857767183152</v>
      </c>
    </row>
    <row r="142" spans="2:9">
      <c r="B142" s="195"/>
      <c r="C142" s="196" t="s">
        <v>94</v>
      </c>
      <c r="D142" s="196" t="s">
        <v>94</v>
      </c>
      <c r="E142" s="196" t="s">
        <v>94</v>
      </c>
      <c r="F142" s="196" t="s">
        <v>94</v>
      </c>
      <c r="G142" s="196" t="s">
        <v>94</v>
      </c>
      <c r="H142" s="197" t="s">
        <v>94</v>
      </c>
    </row>
    <row r="143" spans="2:9">
      <c r="B143" s="191" t="s">
        <v>48</v>
      </c>
      <c r="C143" s="241" t="s">
        <v>94</v>
      </c>
      <c r="D143" s="241" t="s">
        <v>94</v>
      </c>
      <c r="E143" s="241" t="s">
        <v>94</v>
      </c>
      <c r="F143" s="241" t="s">
        <v>94</v>
      </c>
      <c r="G143" s="241" t="s">
        <v>94</v>
      </c>
      <c r="H143" s="203" t="s">
        <v>94</v>
      </c>
    </row>
    <row r="144" spans="2:9">
      <c r="B144" s="188" t="s">
        <v>49</v>
      </c>
      <c r="C144" s="238" t="s">
        <v>94</v>
      </c>
      <c r="D144" s="238" t="s">
        <v>94</v>
      </c>
      <c r="E144" s="238" t="s">
        <v>94</v>
      </c>
      <c r="F144" s="238" t="s">
        <v>94</v>
      </c>
      <c r="G144" s="238" t="s">
        <v>94</v>
      </c>
      <c r="H144" s="554" t="s">
        <v>94</v>
      </c>
    </row>
    <row r="145" spans="2:8">
      <c r="B145" s="191" t="s">
        <v>50</v>
      </c>
      <c r="C145" s="241" t="s">
        <v>94</v>
      </c>
      <c r="D145" s="241" t="s">
        <v>94</v>
      </c>
      <c r="E145" s="241" t="s">
        <v>94</v>
      </c>
      <c r="F145" s="241" t="s">
        <v>94</v>
      </c>
      <c r="G145" s="241" t="s">
        <v>94</v>
      </c>
      <c r="H145" s="203" t="s">
        <v>94</v>
      </c>
    </row>
    <row r="146" spans="2:8">
      <c r="B146" s="202" t="s">
        <v>51</v>
      </c>
      <c r="C146" s="101" t="s">
        <v>94</v>
      </c>
      <c r="D146" s="101" t="s">
        <v>94</v>
      </c>
      <c r="E146" s="101" t="s">
        <v>94</v>
      </c>
      <c r="F146" s="101" t="s">
        <v>94</v>
      </c>
      <c r="G146" s="101" t="s">
        <v>94</v>
      </c>
      <c r="H146" s="99" t="s">
        <v>94</v>
      </c>
    </row>
    <row r="147" spans="2:8">
      <c r="B147" s="185"/>
      <c r="C147" s="186" t="s">
        <v>94</v>
      </c>
      <c r="D147" s="186" t="s">
        <v>94</v>
      </c>
      <c r="E147" s="186" t="s">
        <v>94</v>
      </c>
      <c r="F147" s="186" t="s">
        <v>94</v>
      </c>
      <c r="G147" s="186" t="s">
        <v>94</v>
      </c>
      <c r="H147" s="203" t="s">
        <v>94</v>
      </c>
    </row>
    <row r="148" spans="2:8">
      <c r="B148" s="188" t="s">
        <v>48</v>
      </c>
      <c r="C148" s="238" t="s">
        <v>94</v>
      </c>
      <c r="D148" s="238" t="s">
        <v>94</v>
      </c>
      <c r="E148" s="238" t="s">
        <v>94</v>
      </c>
      <c r="F148" s="239" t="s">
        <v>94</v>
      </c>
      <c r="G148" s="434" t="s">
        <v>94</v>
      </c>
      <c r="H148" s="554" t="s">
        <v>94</v>
      </c>
    </row>
    <row r="149" spans="2:8">
      <c r="B149" s="191" t="s">
        <v>49</v>
      </c>
      <c r="C149" s="241" t="s">
        <v>94</v>
      </c>
      <c r="D149" s="241" t="s">
        <v>94</v>
      </c>
      <c r="E149" s="241" t="s">
        <v>94</v>
      </c>
      <c r="F149" s="242" t="s">
        <v>94</v>
      </c>
      <c r="G149" s="241" t="s">
        <v>94</v>
      </c>
      <c r="H149" s="203" t="s">
        <v>94</v>
      </c>
    </row>
    <row r="150" spans="2:8">
      <c r="B150" s="188" t="s">
        <v>50</v>
      </c>
      <c r="C150" s="238" t="s">
        <v>94</v>
      </c>
      <c r="D150" s="238" t="s">
        <v>94</v>
      </c>
      <c r="E150" s="238" t="s">
        <v>94</v>
      </c>
      <c r="F150" s="238" t="s">
        <v>94</v>
      </c>
      <c r="G150" s="435" t="s">
        <v>94</v>
      </c>
      <c r="H150" s="554" t="s">
        <v>94</v>
      </c>
    </row>
    <row r="151" spans="2:8">
      <c r="B151" s="194" t="s">
        <v>51</v>
      </c>
      <c r="C151" s="96" t="s">
        <v>94</v>
      </c>
      <c r="D151" s="96" t="s">
        <v>94</v>
      </c>
      <c r="E151" s="96" t="s">
        <v>94</v>
      </c>
      <c r="F151" s="96" t="s">
        <v>94</v>
      </c>
      <c r="G151" s="96" t="s">
        <v>94</v>
      </c>
      <c r="H151" s="97" t="s">
        <v>94</v>
      </c>
    </row>
    <row r="152" spans="2:8">
      <c r="B152" s="195"/>
      <c r="C152" s="196" t="s">
        <v>94</v>
      </c>
      <c r="D152" s="196" t="s">
        <v>94</v>
      </c>
      <c r="E152" s="196" t="s">
        <v>94</v>
      </c>
      <c r="F152" s="196" t="s">
        <v>94</v>
      </c>
      <c r="G152" s="196" t="s">
        <v>94</v>
      </c>
      <c r="H152" s="197" t="s">
        <v>94</v>
      </c>
    </row>
    <row r="153" spans="2:8">
      <c r="B153" s="191" t="s">
        <v>48</v>
      </c>
      <c r="C153" s="241" t="s">
        <v>94</v>
      </c>
      <c r="D153" s="241" t="s">
        <v>94</v>
      </c>
      <c r="E153" s="241" t="s">
        <v>94</v>
      </c>
      <c r="F153" s="241" t="s">
        <v>94</v>
      </c>
      <c r="G153" s="241" t="s">
        <v>94</v>
      </c>
      <c r="H153" s="203" t="s">
        <v>94</v>
      </c>
    </row>
    <row r="154" spans="2:8">
      <c r="B154" s="188" t="s">
        <v>49</v>
      </c>
      <c r="C154" s="238" t="s">
        <v>94</v>
      </c>
      <c r="D154" s="238" t="s">
        <v>94</v>
      </c>
      <c r="E154" s="238" t="s">
        <v>94</v>
      </c>
      <c r="F154" s="238" t="s">
        <v>94</v>
      </c>
      <c r="G154" s="238" t="s">
        <v>94</v>
      </c>
      <c r="H154" s="554" t="s">
        <v>94</v>
      </c>
    </row>
    <row r="155" spans="2:8">
      <c r="B155" s="191" t="s">
        <v>50</v>
      </c>
      <c r="C155" s="241" t="s">
        <v>94</v>
      </c>
      <c r="D155" s="241" t="s">
        <v>94</v>
      </c>
      <c r="E155" s="241" t="s">
        <v>94</v>
      </c>
      <c r="F155" s="241" t="s">
        <v>94</v>
      </c>
      <c r="G155" s="241" t="s">
        <v>94</v>
      </c>
      <c r="H155" s="203" t="s">
        <v>94</v>
      </c>
    </row>
    <row r="156" spans="2:8">
      <c r="B156" s="202" t="s">
        <v>51</v>
      </c>
      <c r="C156" s="98" t="s">
        <v>94</v>
      </c>
      <c r="D156" s="98" t="s">
        <v>94</v>
      </c>
      <c r="E156" s="98" t="s">
        <v>94</v>
      </c>
      <c r="F156" s="98" t="s">
        <v>94</v>
      </c>
      <c r="G156" s="98" t="s">
        <v>94</v>
      </c>
      <c r="H156" s="100" t="s">
        <v>94</v>
      </c>
    </row>
    <row r="157" spans="2:8">
      <c r="B157" s="185"/>
      <c r="C157" s="186" t="s">
        <v>94</v>
      </c>
      <c r="D157" s="186" t="s">
        <v>94</v>
      </c>
      <c r="E157" s="186" t="s">
        <v>94</v>
      </c>
      <c r="F157" s="186" t="s">
        <v>94</v>
      </c>
      <c r="G157" s="186" t="s">
        <v>94</v>
      </c>
      <c r="H157" s="187" t="s">
        <v>94</v>
      </c>
    </row>
    <row r="158" spans="2:8">
      <c r="B158" s="188" t="s">
        <v>48</v>
      </c>
      <c r="C158" s="238" t="s">
        <v>94</v>
      </c>
      <c r="D158" s="238" t="s">
        <v>94</v>
      </c>
      <c r="E158" s="238" t="s">
        <v>94</v>
      </c>
      <c r="F158" s="238" t="s">
        <v>94</v>
      </c>
      <c r="G158" s="238" t="s">
        <v>94</v>
      </c>
      <c r="H158" s="554" t="s">
        <v>94</v>
      </c>
    </row>
    <row r="159" spans="2:8">
      <c r="B159" s="191" t="s">
        <v>49</v>
      </c>
      <c r="C159" s="241" t="s">
        <v>94</v>
      </c>
      <c r="D159" s="241" t="s">
        <v>94</v>
      </c>
      <c r="E159" s="241" t="s">
        <v>94</v>
      </c>
      <c r="F159" s="241" t="s">
        <v>94</v>
      </c>
      <c r="G159" s="241" t="s">
        <v>94</v>
      </c>
      <c r="H159" s="203" t="s">
        <v>94</v>
      </c>
    </row>
    <row r="160" spans="2:8">
      <c r="B160" s="188" t="s">
        <v>50</v>
      </c>
      <c r="C160" s="238" t="s">
        <v>94</v>
      </c>
      <c r="D160" s="238" t="s">
        <v>94</v>
      </c>
      <c r="E160" s="238" t="s">
        <v>94</v>
      </c>
      <c r="F160" s="238" t="s">
        <v>94</v>
      </c>
      <c r="G160" s="238" t="s">
        <v>94</v>
      </c>
      <c r="H160" s="554" t="s">
        <v>94</v>
      </c>
    </row>
    <row r="161" spans="2:10">
      <c r="B161" s="194" t="s">
        <v>51</v>
      </c>
      <c r="C161" s="96" t="s">
        <v>94</v>
      </c>
      <c r="D161" s="96" t="s">
        <v>94</v>
      </c>
      <c r="E161" s="96" t="s">
        <v>94</v>
      </c>
      <c r="F161" s="96" t="s">
        <v>94</v>
      </c>
      <c r="G161" s="96" t="s">
        <v>94</v>
      </c>
      <c r="H161" s="97" t="s">
        <v>94</v>
      </c>
    </row>
    <row r="162" spans="2:10">
      <c r="B162" s="195" t="s">
        <v>114</v>
      </c>
      <c r="C162" s="196" t="s">
        <v>94</v>
      </c>
      <c r="D162" s="196" t="s">
        <v>94</v>
      </c>
      <c r="E162" s="196" t="s">
        <v>94</v>
      </c>
      <c r="F162" s="196" t="s">
        <v>94</v>
      </c>
      <c r="G162" s="196" t="s">
        <v>94</v>
      </c>
      <c r="H162" s="197" t="s">
        <v>94</v>
      </c>
    </row>
    <row r="163" spans="2:10">
      <c r="B163" s="191" t="s">
        <v>48</v>
      </c>
      <c r="C163" s="241">
        <v>531</v>
      </c>
      <c r="D163" s="241">
        <v>378</v>
      </c>
      <c r="E163" s="241">
        <v>586</v>
      </c>
      <c r="F163" s="241">
        <v>284</v>
      </c>
      <c r="G163" s="241">
        <v>35</v>
      </c>
      <c r="H163" s="208">
        <v>1816</v>
      </c>
    </row>
    <row r="164" spans="2:10">
      <c r="B164" s="188" t="s">
        <v>49</v>
      </c>
      <c r="C164" s="238">
        <v>368</v>
      </c>
      <c r="D164" s="238">
        <v>131</v>
      </c>
      <c r="E164" s="238">
        <v>137</v>
      </c>
      <c r="F164" s="238">
        <v>45</v>
      </c>
      <c r="G164" s="238">
        <v>10</v>
      </c>
      <c r="H164" s="210">
        <v>690</v>
      </c>
    </row>
    <row r="165" spans="2:10">
      <c r="B165" s="191" t="s">
        <v>50</v>
      </c>
      <c r="C165" s="241">
        <v>909</v>
      </c>
      <c r="D165" s="241">
        <v>518</v>
      </c>
      <c r="E165" s="241">
        <v>725</v>
      </c>
      <c r="F165" s="241">
        <v>337</v>
      </c>
      <c r="G165" s="241">
        <v>45</v>
      </c>
      <c r="H165" s="208">
        <v>2539</v>
      </c>
    </row>
    <row r="166" spans="2:10">
      <c r="B166" s="202" t="s">
        <v>51</v>
      </c>
      <c r="C166" s="101">
        <f t="shared" ref="C166:H166" si="9">IFERROR(C164/$H$165,"-")</f>
        <v>0.14493895234344231</v>
      </c>
      <c r="D166" s="101">
        <f t="shared" si="9"/>
        <v>5.1595116187475386E-2</v>
      </c>
      <c r="E166" s="101">
        <f t="shared" si="9"/>
        <v>5.3958251280031511E-2</v>
      </c>
      <c r="F166" s="101">
        <f t="shared" si="9"/>
        <v>1.7723513194170933E-2</v>
      </c>
      <c r="G166" s="101">
        <f t="shared" si="9"/>
        <v>3.9385584875935411E-3</v>
      </c>
      <c r="H166" s="99">
        <f t="shared" si="9"/>
        <v>0.2717605356439543</v>
      </c>
    </row>
    <row r="168" spans="2:10" ht="23.25">
      <c r="B168" s="127" t="s">
        <v>815</v>
      </c>
    </row>
    <row r="169" spans="2:10" ht="15.75">
      <c r="B169" s="150" t="s">
        <v>826</v>
      </c>
      <c r="J169" s="555"/>
    </row>
    <row r="170" spans="2:10" ht="25.5">
      <c r="B170" s="1185"/>
      <c r="C170" s="1233" t="s">
        <v>125</v>
      </c>
      <c r="D170" s="1234"/>
      <c r="E170" s="1234"/>
      <c r="F170" s="1238"/>
      <c r="G170" s="607" t="s">
        <v>10</v>
      </c>
      <c r="H170" s="212" t="s">
        <v>58</v>
      </c>
      <c r="I170" s="213" t="s">
        <v>70</v>
      </c>
    </row>
    <row r="171" spans="2:10" ht="63.75">
      <c r="B171" s="560" t="s">
        <v>879</v>
      </c>
      <c r="C171" s="214" t="s">
        <v>61</v>
      </c>
      <c r="D171" s="214" t="s">
        <v>60</v>
      </c>
      <c r="E171" s="214" t="s">
        <v>59</v>
      </c>
      <c r="F171" s="609" t="s">
        <v>848</v>
      </c>
      <c r="G171" s="214" t="s">
        <v>122</v>
      </c>
      <c r="H171" s="214" t="s">
        <v>640</v>
      </c>
      <c r="I171" s="215" t="s">
        <v>641</v>
      </c>
    </row>
    <row r="172" spans="2:10">
      <c r="B172" s="685" t="s">
        <v>118</v>
      </c>
      <c r="C172" s="686">
        <v>2546</v>
      </c>
      <c r="D172" s="686">
        <v>0</v>
      </c>
      <c r="E172" s="686">
        <v>0</v>
      </c>
      <c r="F172" s="686">
        <v>50</v>
      </c>
      <c r="G172" s="686">
        <v>0</v>
      </c>
      <c r="H172" s="686">
        <v>13</v>
      </c>
      <c r="I172" s="687">
        <v>2606</v>
      </c>
    </row>
    <row r="173" spans="2:10">
      <c r="B173" s="685" t="s">
        <v>116</v>
      </c>
      <c r="C173" s="686">
        <v>150</v>
      </c>
      <c r="D173" s="686">
        <v>0</v>
      </c>
      <c r="E173" s="686">
        <v>12</v>
      </c>
      <c r="F173" s="686">
        <v>0</v>
      </c>
      <c r="G173" s="686">
        <v>0</v>
      </c>
      <c r="H173" s="686">
        <v>4</v>
      </c>
      <c r="I173" s="687">
        <v>168</v>
      </c>
    </row>
    <row r="174" spans="2:10">
      <c r="B174" s="685" t="s">
        <v>115</v>
      </c>
      <c r="C174" s="686">
        <v>78</v>
      </c>
      <c r="D174" s="686">
        <v>0</v>
      </c>
      <c r="E174" s="686">
        <v>3</v>
      </c>
      <c r="F174" s="686">
        <v>0</v>
      </c>
      <c r="G174" s="686">
        <v>15</v>
      </c>
      <c r="H174" s="686">
        <v>3</v>
      </c>
      <c r="I174" s="687">
        <v>102</v>
      </c>
    </row>
    <row r="175" spans="2:10">
      <c r="B175" s="685" t="s">
        <v>117</v>
      </c>
      <c r="C175" s="686">
        <v>41</v>
      </c>
      <c r="D175" s="686">
        <v>5</v>
      </c>
      <c r="E175" s="686">
        <v>5</v>
      </c>
      <c r="F175" s="686">
        <v>0</v>
      </c>
      <c r="G175" s="686">
        <v>3</v>
      </c>
      <c r="H175" s="686">
        <v>0</v>
      </c>
      <c r="I175" s="687">
        <v>51</v>
      </c>
    </row>
    <row r="176" spans="2:10">
      <c r="B176" s="685" t="s">
        <v>119</v>
      </c>
      <c r="C176" s="686">
        <v>12</v>
      </c>
      <c r="D176" s="686">
        <v>0</v>
      </c>
      <c r="E176" s="686">
        <v>5</v>
      </c>
      <c r="F176" s="686">
        <v>0</v>
      </c>
      <c r="G176" s="686">
        <v>3</v>
      </c>
      <c r="H176" s="686">
        <v>0</v>
      </c>
      <c r="I176" s="687">
        <v>18</v>
      </c>
    </row>
    <row r="177" spans="2:9">
      <c r="B177" s="685" t="s">
        <v>97</v>
      </c>
      <c r="C177" s="686">
        <v>10</v>
      </c>
      <c r="D177" s="686">
        <v>0</v>
      </c>
      <c r="E177" s="686">
        <v>0</v>
      </c>
      <c r="F177" s="686">
        <v>0</v>
      </c>
      <c r="G177" s="686">
        <v>0</v>
      </c>
      <c r="H177" s="686">
        <v>0</v>
      </c>
      <c r="I177" s="687">
        <v>12</v>
      </c>
    </row>
    <row r="178" spans="2:9">
      <c r="B178" s="685" t="s">
        <v>98</v>
      </c>
      <c r="C178" s="686">
        <v>10</v>
      </c>
      <c r="D178" s="686">
        <v>0</v>
      </c>
      <c r="E178" s="686">
        <v>0</v>
      </c>
      <c r="F178" s="686">
        <v>0</v>
      </c>
      <c r="G178" s="686">
        <v>0</v>
      </c>
      <c r="H178" s="686">
        <v>0</v>
      </c>
      <c r="I178" s="687">
        <v>12</v>
      </c>
    </row>
    <row r="179" spans="2:9">
      <c r="B179" s="685" t="s">
        <v>111</v>
      </c>
      <c r="C179" s="686">
        <v>0</v>
      </c>
      <c r="D179" s="686">
        <v>0</v>
      </c>
      <c r="E179" s="686">
        <v>0</v>
      </c>
      <c r="F179" s="686">
        <v>0</v>
      </c>
      <c r="G179" s="686">
        <v>0</v>
      </c>
      <c r="H179" s="686">
        <v>0</v>
      </c>
      <c r="I179" s="687">
        <v>7</v>
      </c>
    </row>
    <row r="180" spans="2:9">
      <c r="B180" s="685" t="s">
        <v>250</v>
      </c>
      <c r="C180" s="686">
        <v>6</v>
      </c>
      <c r="D180" s="686">
        <v>0</v>
      </c>
      <c r="E180" s="686">
        <v>0</v>
      </c>
      <c r="F180" s="686">
        <v>0</v>
      </c>
      <c r="G180" s="686">
        <v>0</v>
      </c>
      <c r="H180" s="686">
        <v>0</v>
      </c>
      <c r="I180" s="687">
        <v>6</v>
      </c>
    </row>
    <row r="181" spans="2:9">
      <c r="B181" s="688" t="s">
        <v>244</v>
      </c>
      <c r="C181" s="689">
        <v>3</v>
      </c>
      <c r="D181" s="689">
        <v>0</v>
      </c>
      <c r="E181" s="689">
        <v>0</v>
      </c>
      <c r="F181" s="689">
        <v>0</v>
      </c>
      <c r="G181" s="689">
        <v>0</v>
      </c>
      <c r="H181" s="689">
        <v>0</v>
      </c>
      <c r="I181" s="690">
        <v>3</v>
      </c>
    </row>
    <row r="183" spans="2:9" ht="23.25">
      <c r="B183" s="127" t="s">
        <v>816</v>
      </c>
    </row>
    <row r="184" spans="2:9" ht="15.75">
      <c r="B184" s="150" t="s">
        <v>332</v>
      </c>
    </row>
    <row r="185" spans="2:9" ht="25.5">
      <c r="B185" s="173" t="s">
        <v>64</v>
      </c>
      <c r="C185" s="222" t="s">
        <v>37</v>
      </c>
      <c r="D185" s="222" t="s">
        <v>38</v>
      </c>
      <c r="E185" s="222" t="s">
        <v>6</v>
      </c>
      <c r="F185" s="222" t="s">
        <v>1</v>
      </c>
      <c r="G185" s="223" t="s">
        <v>7</v>
      </c>
      <c r="H185" s="222" t="s">
        <v>65</v>
      </c>
      <c r="I185" s="222" t="s">
        <v>8</v>
      </c>
    </row>
    <row r="186" spans="2:9">
      <c r="B186" s="155" t="s">
        <v>150</v>
      </c>
      <c r="C186" s="103">
        <v>1122</v>
      </c>
      <c r="D186" s="103">
        <v>1156</v>
      </c>
      <c r="E186" s="103">
        <v>2281</v>
      </c>
      <c r="F186" s="224">
        <f>IFERROR(Table79222681196102108114101114151719[[#This Row],[Persons]]/$C$15,"..")</f>
        <v>0.72023997473950108</v>
      </c>
      <c r="G186" s="228" t="s">
        <v>94</v>
      </c>
      <c r="H186" s="103" t="str">
        <f>IFERROR(Table79222681196102108114101114151719[[#This Row],[Persons]]-Table79222681196102108114101114151719[[#This Row],[2011 Census]],"..")</f>
        <v>..</v>
      </c>
      <c r="I186" s="64" t="str">
        <f t="shared" ref="I186:I207" si="10">IFERROR(((E186-G186)/G186),"..")</f>
        <v>..</v>
      </c>
    </row>
    <row r="187" spans="2:9">
      <c r="B187" s="158" t="s">
        <v>149</v>
      </c>
      <c r="C187" s="106">
        <v>148</v>
      </c>
      <c r="D187" s="106">
        <v>166</v>
      </c>
      <c r="E187" s="106">
        <v>311</v>
      </c>
      <c r="F187" s="226">
        <f>IFERROR(Table79222681196102108114101114151719[[#This Row],[Persons]]/$C$15,"..")</f>
        <v>9.8200189453741718E-2</v>
      </c>
      <c r="G187" s="227" t="s">
        <v>94</v>
      </c>
      <c r="H187" s="106" t="str">
        <f>IFERROR(Table79222681196102108114101114151719[[#This Row],[Persons]]-Table79222681196102108114101114151719[[#This Row],[2011 Census]],"..")</f>
        <v>..</v>
      </c>
      <c r="I187" s="54" t="str">
        <f t="shared" si="10"/>
        <v>..</v>
      </c>
    </row>
    <row r="188" spans="2:9">
      <c r="B188" s="155" t="s">
        <v>151</v>
      </c>
      <c r="C188" s="103">
        <v>12</v>
      </c>
      <c r="D188" s="103">
        <v>14</v>
      </c>
      <c r="E188" s="103">
        <v>18</v>
      </c>
      <c r="F188" s="224">
        <f>IFERROR(Table79222681196102108114101114151719[[#This Row],[Persons]]/$C$15,"..")</f>
        <v>5.6836122513419639E-3</v>
      </c>
      <c r="G188" s="228" t="s">
        <v>94</v>
      </c>
      <c r="H188" s="103" t="str">
        <f>IFERROR(Table79222681196102108114101114151719[[#This Row],[Persons]]-Table79222681196102108114101114151719[[#This Row],[2011 Census]],"..")</f>
        <v>..</v>
      </c>
      <c r="I188" s="64" t="str">
        <f t="shared" si="10"/>
        <v>..</v>
      </c>
    </row>
    <row r="189" spans="2:9">
      <c r="B189" s="158" t="s">
        <v>164</v>
      </c>
      <c r="C189" s="106">
        <v>6</v>
      </c>
      <c r="D189" s="106">
        <v>6</v>
      </c>
      <c r="E189" s="106">
        <v>13</v>
      </c>
      <c r="F189" s="226">
        <f>IFERROR(Table79222681196102108114101114151719[[#This Row],[Persons]]/$C$15,"..")</f>
        <v>4.1048310704136408E-3</v>
      </c>
      <c r="G189" s="227" t="s">
        <v>94</v>
      </c>
      <c r="H189" s="106" t="str">
        <f>IFERROR(Table79222681196102108114101114151719[[#This Row],[Persons]]-Table79222681196102108114101114151719[[#This Row],[2011 Census]],"..")</f>
        <v>..</v>
      </c>
      <c r="I189" s="54" t="str">
        <f t="shared" si="10"/>
        <v>..</v>
      </c>
    </row>
    <row r="190" spans="2:9">
      <c r="B190" s="155" t="s">
        <v>153</v>
      </c>
      <c r="C190" s="103">
        <v>0</v>
      </c>
      <c r="D190" s="103">
        <v>6</v>
      </c>
      <c r="E190" s="103">
        <v>7</v>
      </c>
      <c r="F190" s="224">
        <f>IFERROR(Table79222681196102108114101114151719[[#This Row],[Persons]]/$C$15,"..")</f>
        <v>2.2102936532996525E-3</v>
      </c>
      <c r="G190" s="228" t="s">
        <v>94</v>
      </c>
      <c r="H190" s="103" t="str">
        <f>IFERROR(Table79222681196102108114101114151719[[#This Row],[Persons]]-Table79222681196102108114101114151719[[#This Row],[2011 Census]],"..")</f>
        <v>..</v>
      </c>
      <c r="I190" s="64" t="str">
        <f t="shared" si="10"/>
        <v>..</v>
      </c>
    </row>
    <row r="191" spans="2:9">
      <c r="B191" s="158" t="s">
        <v>156</v>
      </c>
      <c r="C191" s="106">
        <v>4</v>
      </c>
      <c r="D191" s="106">
        <v>0</v>
      </c>
      <c r="E191" s="106">
        <v>6</v>
      </c>
      <c r="F191" s="226">
        <f>IFERROR(Table79222681196102108114101114151719[[#This Row],[Persons]]/$C$15,"..")</f>
        <v>1.8945374171139881E-3</v>
      </c>
      <c r="G191" s="227" t="s">
        <v>94</v>
      </c>
      <c r="H191" s="106" t="str">
        <f>IFERROR(Table79222681196102108114101114151719[[#This Row],[Persons]]-Table79222681196102108114101114151719[[#This Row],[2011 Census]],"..")</f>
        <v>..</v>
      </c>
      <c r="I191" s="54" t="str">
        <f t="shared" si="10"/>
        <v>..</v>
      </c>
    </row>
    <row r="192" spans="2:9">
      <c r="B192" s="155" t="s">
        <v>157</v>
      </c>
      <c r="C192" s="103">
        <v>6</v>
      </c>
      <c r="D192" s="103">
        <v>0</v>
      </c>
      <c r="E192" s="103">
        <v>6</v>
      </c>
      <c r="F192" s="224">
        <f>IFERROR(Table79222681196102108114101114151719[[#This Row],[Persons]]/$C$15,"..")</f>
        <v>1.8945374171139881E-3</v>
      </c>
      <c r="G192" s="228" t="s">
        <v>94</v>
      </c>
      <c r="H192" s="103" t="str">
        <f>IFERROR(Table79222681196102108114101114151719[[#This Row],[Persons]]-Table79222681196102108114101114151719[[#This Row],[2011 Census]],"..")</f>
        <v>..</v>
      </c>
      <c r="I192" s="64" t="str">
        <f t="shared" si="10"/>
        <v>..</v>
      </c>
    </row>
    <row r="193" spans="2:9">
      <c r="B193" s="158" t="s">
        <v>163</v>
      </c>
      <c r="C193" s="106">
        <v>0</v>
      </c>
      <c r="D193" s="106">
        <v>0</v>
      </c>
      <c r="E193" s="106">
        <v>5</v>
      </c>
      <c r="F193" s="226">
        <f>IFERROR(Table79222681196102108114101114151719[[#This Row],[Persons]]/$C$15,"..")</f>
        <v>1.5787811809283233E-3</v>
      </c>
      <c r="G193" s="227" t="s">
        <v>94</v>
      </c>
      <c r="H193" s="106" t="str">
        <f>IFERROR(Table79222681196102108114101114151719[[#This Row],[Persons]]-Table79222681196102108114101114151719[[#This Row],[2011 Census]],"..")</f>
        <v>..</v>
      </c>
      <c r="I193" s="54" t="str">
        <f t="shared" si="10"/>
        <v>..</v>
      </c>
    </row>
    <row r="194" spans="2:9">
      <c r="B194" s="155" t="s">
        <v>162</v>
      </c>
      <c r="C194" s="103">
        <v>0</v>
      </c>
      <c r="D194" s="103">
        <v>4</v>
      </c>
      <c r="E194" s="103">
        <v>4</v>
      </c>
      <c r="F194" s="224">
        <f>IFERROR(Table79222681196102108114101114151719[[#This Row],[Persons]]/$C$15,"..")</f>
        <v>1.2630249447426586E-3</v>
      </c>
      <c r="G194" s="228" t="s">
        <v>94</v>
      </c>
      <c r="H194" s="103" t="str">
        <f>IFERROR(Table79222681196102108114101114151719[[#This Row],[Persons]]-Table79222681196102108114101114151719[[#This Row],[2011 Census]],"..")</f>
        <v>..</v>
      </c>
      <c r="I194" s="64" t="str">
        <f t="shared" si="10"/>
        <v>..</v>
      </c>
    </row>
    <row r="195" spans="2:9">
      <c r="B195" s="158" t="s">
        <v>94</v>
      </c>
      <c r="C195" s="106" t="s">
        <v>94</v>
      </c>
      <c r="D195" s="106" t="s">
        <v>94</v>
      </c>
      <c r="E195" s="106" t="s">
        <v>94</v>
      </c>
      <c r="F195" s="226" t="str">
        <f>IFERROR(Table79222681196102108114101114151719[[#This Row],[Persons]]/$C$15,"..")</f>
        <v>..</v>
      </c>
      <c r="G195" s="227" t="s">
        <v>94</v>
      </c>
      <c r="H195" s="106" t="str">
        <f>IFERROR(Table79222681196102108114101114151719[[#This Row],[Persons]]-Table79222681196102108114101114151719[[#This Row],[2011 Census]],"..")</f>
        <v>..</v>
      </c>
      <c r="I195" s="54" t="str">
        <f t="shared" si="10"/>
        <v>..</v>
      </c>
    </row>
    <row r="196" spans="2:9">
      <c r="B196" s="158" t="s">
        <v>94</v>
      </c>
      <c r="C196" s="103" t="s">
        <v>94</v>
      </c>
      <c r="D196" s="103" t="s">
        <v>94</v>
      </c>
      <c r="E196" s="103" t="s">
        <v>94</v>
      </c>
      <c r="F196" s="224" t="str">
        <f>IFERROR(Table79222681196102108114101114151719[[#This Row],[Persons]]/$C$15,"..")</f>
        <v>..</v>
      </c>
      <c r="G196" s="228" t="s">
        <v>94</v>
      </c>
      <c r="H196" s="103" t="str">
        <f>IFERROR(Table79222681196102108114101114151719[[#This Row],[Persons]]-Table79222681196102108114101114151719[[#This Row],[2011 Census]],"..")</f>
        <v>..</v>
      </c>
      <c r="I196" s="64" t="str">
        <f t="shared" si="10"/>
        <v>..</v>
      </c>
    </row>
    <row r="197" spans="2:9">
      <c r="B197" s="158" t="s">
        <v>94</v>
      </c>
      <c r="C197" s="106" t="s">
        <v>94</v>
      </c>
      <c r="D197" s="106" t="s">
        <v>94</v>
      </c>
      <c r="E197" s="106" t="s">
        <v>94</v>
      </c>
      <c r="F197" s="226" t="str">
        <f>IFERROR(Table79222681196102108114101114151719[[#This Row],[Persons]]/$C$15,"..")</f>
        <v>..</v>
      </c>
      <c r="G197" s="227" t="s">
        <v>94</v>
      </c>
      <c r="H197" s="106" t="str">
        <f>IFERROR(Table79222681196102108114101114151719[[#This Row],[Persons]]-Table79222681196102108114101114151719[[#This Row],[2011 Census]],"..")</f>
        <v>..</v>
      </c>
      <c r="I197" s="54" t="str">
        <f t="shared" si="10"/>
        <v>..</v>
      </c>
    </row>
    <row r="198" spans="2:9">
      <c r="B198" s="158" t="s">
        <v>94</v>
      </c>
      <c r="C198" s="103" t="s">
        <v>94</v>
      </c>
      <c r="D198" s="103" t="s">
        <v>94</v>
      </c>
      <c r="E198" s="103" t="s">
        <v>94</v>
      </c>
      <c r="F198" s="224" t="str">
        <f>IFERROR(Table79222681196102108114101114151719[[#This Row],[Persons]]/$C$15,"..")</f>
        <v>..</v>
      </c>
      <c r="G198" s="228" t="s">
        <v>94</v>
      </c>
      <c r="H198" s="103" t="str">
        <f>IFERROR(Table79222681196102108114101114151719[[#This Row],[Persons]]-Table79222681196102108114101114151719[[#This Row],[2011 Census]],"..")</f>
        <v>..</v>
      </c>
      <c r="I198" s="64" t="str">
        <f t="shared" si="10"/>
        <v>..</v>
      </c>
    </row>
    <row r="199" spans="2:9">
      <c r="B199" s="158" t="s">
        <v>94</v>
      </c>
      <c r="C199" s="106" t="s">
        <v>94</v>
      </c>
      <c r="D199" s="106" t="s">
        <v>94</v>
      </c>
      <c r="E199" s="106" t="s">
        <v>94</v>
      </c>
      <c r="F199" s="226" t="str">
        <f>IFERROR(Table79222681196102108114101114151719[[#This Row],[Persons]]/$C$15,"..")</f>
        <v>..</v>
      </c>
      <c r="G199" s="227" t="s">
        <v>94</v>
      </c>
      <c r="H199" s="106" t="str">
        <f>IFERROR(Table79222681196102108114101114151719[[#This Row],[Persons]]-Table79222681196102108114101114151719[[#This Row],[2011 Census]],"..")</f>
        <v>..</v>
      </c>
      <c r="I199" s="54" t="str">
        <f t="shared" si="10"/>
        <v>..</v>
      </c>
    </row>
    <row r="200" spans="2:9">
      <c r="B200" s="158" t="s">
        <v>94</v>
      </c>
      <c r="C200" s="106" t="s">
        <v>94</v>
      </c>
      <c r="D200" s="106" t="s">
        <v>94</v>
      </c>
      <c r="E200" s="106" t="s">
        <v>94</v>
      </c>
      <c r="F200" s="226" t="str">
        <f>IFERROR(Table79222681196102108114101114151719[[#This Row],[Persons]]/$C$15,"..")</f>
        <v>..</v>
      </c>
      <c r="G200" s="227" t="s">
        <v>94</v>
      </c>
      <c r="H200" s="106" t="str">
        <f>IFERROR(Table79222681196102108114101114151719[[#This Row],[Persons]]-Table79222681196102108114101114151719[[#This Row],[2011 Census]],"..")</f>
        <v>..</v>
      </c>
      <c r="I200" s="54" t="str">
        <f t="shared" si="10"/>
        <v>..</v>
      </c>
    </row>
    <row r="201" spans="2:9">
      <c r="B201" s="158" t="s">
        <v>94</v>
      </c>
      <c r="C201" s="106" t="s">
        <v>94</v>
      </c>
      <c r="D201" s="106" t="s">
        <v>94</v>
      </c>
      <c r="E201" s="106" t="s">
        <v>94</v>
      </c>
      <c r="F201" s="226" t="str">
        <f>IFERROR(Table79222681196102108114101114151719[[#This Row],[Persons]]/$C$15,"..")</f>
        <v>..</v>
      </c>
      <c r="G201" s="227" t="s">
        <v>94</v>
      </c>
      <c r="H201" s="106" t="str">
        <f>IFERROR(Table79222681196102108114101114151719[[#This Row],[Persons]]-Table79222681196102108114101114151719[[#This Row],[2011 Census]],"..")</f>
        <v>..</v>
      </c>
      <c r="I201" s="54" t="str">
        <f t="shared" si="10"/>
        <v>..</v>
      </c>
    </row>
    <row r="202" spans="2:9">
      <c r="B202" s="158" t="s">
        <v>94</v>
      </c>
      <c r="C202" s="106" t="s">
        <v>94</v>
      </c>
      <c r="D202" s="106" t="s">
        <v>94</v>
      </c>
      <c r="E202" s="106" t="s">
        <v>94</v>
      </c>
      <c r="F202" s="226" t="str">
        <f>IFERROR(Table79222681196102108114101114151719[[#This Row],[Persons]]/$C$15,"..")</f>
        <v>..</v>
      </c>
      <c r="G202" s="227" t="s">
        <v>94</v>
      </c>
      <c r="H202" s="106" t="str">
        <f>IFERROR(Table79222681196102108114101114151719[[#This Row],[Persons]]-Table79222681196102108114101114151719[[#This Row],[2011 Census]],"..")</f>
        <v>..</v>
      </c>
      <c r="I202" s="54" t="str">
        <f t="shared" si="10"/>
        <v>..</v>
      </c>
    </row>
    <row r="203" spans="2:9">
      <c r="B203" s="158" t="s">
        <v>94</v>
      </c>
      <c r="C203" s="106" t="s">
        <v>94</v>
      </c>
      <c r="D203" s="106" t="s">
        <v>94</v>
      </c>
      <c r="E203" s="106" t="s">
        <v>94</v>
      </c>
      <c r="F203" s="226" t="str">
        <f>IFERROR(Table79222681196102108114101114151719[[#This Row],[Persons]]/$C$15,"..")</f>
        <v>..</v>
      </c>
      <c r="G203" s="227" t="s">
        <v>94</v>
      </c>
      <c r="H203" s="106" t="str">
        <f>IFERROR(Table79222681196102108114101114151719[[#This Row],[Persons]]-Table79222681196102108114101114151719[[#This Row],[2011 Census]],"..")</f>
        <v>..</v>
      </c>
      <c r="I203" s="54" t="str">
        <f t="shared" si="10"/>
        <v>..</v>
      </c>
    </row>
    <row r="204" spans="2:9">
      <c r="B204" s="158" t="s">
        <v>94</v>
      </c>
      <c r="C204" s="106" t="s">
        <v>94</v>
      </c>
      <c r="D204" s="106" t="s">
        <v>94</v>
      </c>
      <c r="E204" s="106" t="s">
        <v>94</v>
      </c>
      <c r="F204" s="226" t="str">
        <f>IFERROR(Table79222681196102108114101114151719[[#This Row],[Persons]]/$C$15,"..")</f>
        <v>..</v>
      </c>
      <c r="G204" s="227" t="s">
        <v>94</v>
      </c>
      <c r="H204" s="106" t="str">
        <f>IFERROR(Table79222681196102108114101114151719[[#This Row],[Persons]]-Table79222681196102108114101114151719[[#This Row],[2011 Census]],"..")</f>
        <v>..</v>
      </c>
      <c r="I204" s="54" t="str">
        <f t="shared" si="10"/>
        <v>..</v>
      </c>
    </row>
    <row r="205" spans="2:9">
      <c r="B205" s="158" t="s">
        <v>94</v>
      </c>
      <c r="C205" s="106" t="s">
        <v>94</v>
      </c>
      <c r="D205" s="106" t="s">
        <v>94</v>
      </c>
      <c r="E205" s="106" t="s">
        <v>94</v>
      </c>
      <c r="F205" s="226" t="str">
        <f>IFERROR(Table79222681196102108114101114151719[[#This Row],[Persons]]/$C$15,"..")</f>
        <v>..</v>
      </c>
      <c r="G205" s="227" t="s">
        <v>94</v>
      </c>
      <c r="H205" s="106" t="str">
        <f>IFERROR(Table79222681196102108114101114151719[[#This Row],[Persons]]-Table79222681196102108114101114151719[[#This Row],[2011 Census]],"..")</f>
        <v>..</v>
      </c>
      <c r="I205" s="54" t="str">
        <f t="shared" si="10"/>
        <v>..</v>
      </c>
    </row>
    <row r="206" spans="2:9">
      <c r="B206" s="155" t="s">
        <v>71</v>
      </c>
      <c r="C206" s="103">
        <v>59</v>
      </c>
      <c r="D206" s="103">
        <v>52</v>
      </c>
      <c r="E206" s="103">
        <v>113</v>
      </c>
      <c r="F206" s="224">
        <f>IFERROR(Table79222681196102108114101114151719[[#This Row],[Persons]]/$C$15,"..")</f>
        <v>3.5680454688980109E-2</v>
      </c>
      <c r="G206" s="228" t="s">
        <v>94</v>
      </c>
      <c r="H206" s="103" t="str">
        <f>IFERROR(Table79222681196102108114101114151719[[#This Row],[Persons]]-Table79222681196102108114101114151719[[#This Row],[2011 Census]],"..")</f>
        <v>..</v>
      </c>
      <c r="I206" s="64" t="str">
        <f t="shared" si="10"/>
        <v>..</v>
      </c>
    </row>
    <row r="207" spans="2:9">
      <c r="B207" s="158" t="s">
        <v>58</v>
      </c>
      <c r="C207" s="106">
        <v>193</v>
      </c>
      <c r="D207" s="106">
        <v>206</v>
      </c>
      <c r="E207" s="106">
        <v>397</v>
      </c>
      <c r="F207" s="226">
        <f>IFERROR(Table79222681196102108114101114151719[[#This Row],[Persons]]/$C$15,"..")</f>
        <v>0.12535522576570887</v>
      </c>
      <c r="G207" s="227" t="s">
        <v>94</v>
      </c>
      <c r="H207" s="106" t="str">
        <f>IFERROR(Table79222681196102108114101114151719[[#This Row],[Persons]]-Table79222681196102108114101114151719[[#This Row],[2011 Census]],"..")</f>
        <v>..</v>
      </c>
      <c r="I207" s="54" t="str">
        <f t="shared" si="10"/>
        <v>..</v>
      </c>
    </row>
    <row r="208" spans="2:9" ht="15.75">
      <c r="B208" s="115" t="s">
        <v>72</v>
      </c>
      <c r="C208" s="229" t="s">
        <v>298</v>
      </c>
      <c r="D208" s="229" t="s">
        <v>299</v>
      </c>
      <c r="E208" s="116">
        <f>C15</f>
        <v>3167</v>
      </c>
      <c r="F208" s="230" t="s">
        <v>22</v>
      </c>
      <c r="G208" s="116" t="str">
        <f>E16</f>
        <v>..</v>
      </c>
      <c r="H208" s="229" t="s">
        <v>94</v>
      </c>
      <c r="I208" s="231" t="s">
        <v>94</v>
      </c>
    </row>
    <row r="209" spans="2:10" ht="15.75">
      <c r="B209" s="114"/>
      <c r="C209" s="114"/>
      <c r="D209" s="114"/>
      <c r="E209" s="114"/>
      <c r="F209" s="114"/>
      <c r="G209" s="114"/>
      <c r="H209" s="114"/>
      <c r="I209" s="114"/>
    </row>
    <row r="210" spans="2:10" ht="23.25">
      <c r="B210" s="127" t="s">
        <v>817</v>
      </c>
    </row>
    <row r="211" spans="2:10" ht="15.75">
      <c r="B211" s="150" t="s">
        <v>827</v>
      </c>
    </row>
    <row r="212" spans="2:10" ht="25.5">
      <c r="B212" s="173" t="s">
        <v>64</v>
      </c>
      <c r="C212" s="222" t="s">
        <v>66</v>
      </c>
      <c r="D212" s="222" t="s">
        <v>67</v>
      </c>
      <c r="E212" s="222" t="s">
        <v>58</v>
      </c>
      <c r="F212" s="233" t="s">
        <v>68</v>
      </c>
      <c r="G212" s="233" t="s">
        <v>24</v>
      </c>
      <c r="H212" s="233" t="s">
        <v>25</v>
      </c>
      <c r="I212" s="233" t="s">
        <v>69</v>
      </c>
      <c r="J212" s="233" t="s">
        <v>27</v>
      </c>
    </row>
    <row r="213" spans="2:10">
      <c r="B213" s="155" t="s">
        <v>150</v>
      </c>
      <c r="C213" s="103">
        <v>2257</v>
      </c>
      <c r="D213" s="103">
        <v>9</v>
      </c>
      <c r="E213" s="103">
        <v>17</v>
      </c>
      <c r="F213" s="234">
        <v>796</v>
      </c>
      <c r="G213" s="235">
        <v>458</v>
      </c>
      <c r="H213" s="235">
        <v>667</v>
      </c>
      <c r="I213" s="236">
        <v>315</v>
      </c>
      <c r="J213" s="1186">
        <v>47</v>
      </c>
    </row>
    <row r="214" spans="2:10">
      <c r="B214" s="158" t="s">
        <v>149</v>
      </c>
      <c r="C214" s="106">
        <v>291</v>
      </c>
      <c r="D214" s="106">
        <v>19</v>
      </c>
      <c r="E214" s="106">
        <v>3</v>
      </c>
      <c r="F214" s="237">
        <v>104</v>
      </c>
      <c r="G214" s="238">
        <v>48</v>
      </c>
      <c r="H214" s="238">
        <v>103</v>
      </c>
      <c r="I214" s="239">
        <v>46</v>
      </c>
      <c r="J214" s="106">
        <v>7</v>
      </c>
    </row>
    <row r="215" spans="2:10">
      <c r="B215" s="155" t="s">
        <v>151</v>
      </c>
      <c r="C215" s="103">
        <v>20</v>
      </c>
      <c r="D215" s="103">
        <v>0</v>
      </c>
      <c r="E215" s="103">
        <v>0</v>
      </c>
      <c r="F215" s="240">
        <v>5</v>
      </c>
      <c r="G215" s="241">
        <v>4</v>
      </c>
      <c r="H215" s="241">
        <v>10</v>
      </c>
      <c r="I215" s="242">
        <v>4</v>
      </c>
      <c r="J215" s="103">
        <v>0</v>
      </c>
    </row>
    <row r="216" spans="2:10">
      <c r="B216" s="158" t="s">
        <v>164</v>
      </c>
      <c r="C216" s="106">
        <v>10</v>
      </c>
      <c r="D216" s="106">
        <v>0</v>
      </c>
      <c r="E216" s="106">
        <v>0</v>
      </c>
      <c r="F216" s="237">
        <v>6</v>
      </c>
      <c r="G216" s="238">
        <v>3</v>
      </c>
      <c r="H216" s="238">
        <v>0</v>
      </c>
      <c r="I216" s="239">
        <v>3</v>
      </c>
      <c r="J216" s="106">
        <v>0</v>
      </c>
    </row>
    <row r="217" spans="2:10">
      <c r="B217" s="155" t="s">
        <v>153</v>
      </c>
      <c r="C217" s="103">
        <v>7</v>
      </c>
      <c r="D217" s="103">
        <v>0</v>
      </c>
      <c r="E217" s="103">
        <v>0</v>
      </c>
      <c r="F217" s="240">
        <v>0</v>
      </c>
      <c r="G217" s="241">
        <v>0</v>
      </c>
      <c r="H217" s="241">
        <v>5</v>
      </c>
      <c r="I217" s="242">
        <v>0</v>
      </c>
      <c r="J217" s="103">
        <v>0</v>
      </c>
    </row>
    <row r="218" spans="2:10">
      <c r="B218" s="158" t="s">
        <v>156</v>
      </c>
      <c r="C218" s="106">
        <v>4</v>
      </c>
      <c r="D218" s="106">
        <v>0</v>
      </c>
      <c r="E218" s="106">
        <v>0</v>
      </c>
      <c r="F218" s="237">
        <v>0</v>
      </c>
      <c r="G218" s="238">
        <v>0</v>
      </c>
      <c r="H218" s="238">
        <v>4</v>
      </c>
      <c r="I218" s="239">
        <v>0</v>
      </c>
      <c r="J218" s="106">
        <v>0</v>
      </c>
    </row>
    <row r="219" spans="2:10">
      <c r="B219" s="155" t="s">
        <v>157</v>
      </c>
      <c r="C219" s="103">
        <v>4</v>
      </c>
      <c r="D219" s="103">
        <v>0</v>
      </c>
      <c r="E219" s="103">
        <v>0</v>
      </c>
      <c r="F219" s="240">
        <v>0</v>
      </c>
      <c r="G219" s="241">
        <v>0</v>
      </c>
      <c r="H219" s="241">
        <v>0</v>
      </c>
      <c r="I219" s="242">
        <v>3</v>
      </c>
      <c r="J219" s="103">
        <v>0</v>
      </c>
    </row>
    <row r="220" spans="2:10">
      <c r="B220" s="158" t="s">
        <v>163</v>
      </c>
      <c r="C220" s="106">
        <v>5</v>
      </c>
      <c r="D220" s="106">
        <v>0</v>
      </c>
      <c r="E220" s="106">
        <v>0</v>
      </c>
      <c r="F220" s="237">
        <v>0</v>
      </c>
      <c r="G220" s="238">
        <v>0</v>
      </c>
      <c r="H220" s="238">
        <v>0</v>
      </c>
      <c r="I220" s="239">
        <v>0</v>
      </c>
      <c r="J220" s="106">
        <v>0</v>
      </c>
    </row>
    <row r="221" spans="2:10">
      <c r="B221" s="155" t="s">
        <v>162</v>
      </c>
      <c r="C221" s="103">
        <v>4</v>
      </c>
      <c r="D221" s="103">
        <v>0</v>
      </c>
      <c r="E221" s="103">
        <v>0</v>
      </c>
      <c r="F221" s="240">
        <v>0</v>
      </c>
      <c r="G221" s="241">
        <v>0</v>
      </c>
      <c r="H221" s="241">
        <v>0</v>
      </c>
      <c r="I221" s="242">
        <v>4</v>
      </c>
      <c r="J221" s="103">
        <v>0</v>
      </c>
    </row>
    <row r="222" spans="2:10">
      <c r="B222" s="158" t="s">
        <v>94</v>
      </c>
      <c r="C222" s="106" t="s">
        <v>94</v>
      </c>
      <c r="D222" s="106" t="s">
        <v>94</v>
      </c>
      <c r="E222" s="106" t="s">
        <v>94</v>
      </c>
      <c r="F222" s="237" t="s">
        <v>94</v>
      </c>
      <c r="G222" s="238" t="s">
        <v>94</v>
      </c>
      <c r="H222" s="238" t="s">
        <v>94</v>
      </c>
      <c r="I222" s="239" t="s">
        <v>94</v>
      </c>
      <c r="J222" s="106" t="s">
        <v>94</v>
      </c>
    </row>
    <row r="223" spans="2:10">
      <c r="B223" s="155" t="s">
        <v>94</v>
      </c>
      <c r="C223" s="103" t="s">
        <v>94</v>
      </c>
      <c r="D223" s="103" t="s">
        <v>94</v>
      </c>
      <c r="E223" s="103" t="s">
        <v>94</v>
      </c>
      <c r="F223" s="240" t="s">
        <v>94</v>
      </c>
      <c r="G223" s="241" t="s">
        <v>94</v>
      </c>
      <c r="H223" s="241" t="s">
        <v>94</v>
      </c>
      <c r="I223" s="242" t="s">
        <v>94</v>
      </c>
      <c r="J223" s="103" t="s">
        <v>94</v>
      </c>
    </row>
    <row r="224" spans="2:10">
      <c r="B224" s="158" t="s">
        <v>94</v>
      </c>
      <c r="C224" s="106" t="s">
        <v>94</v>
      </c>
      <c r="D224" s="106" t="s">
        <v>94</v>
      </c>
      <c r="E224" s="106" t="s">
        <v>94</v>
      </c>
      <c r="F224" s="237" t="s">
        <v>94</v>
      </c>
      <c r="G224" s="238" t="s">
        <v>94</v>
      </c>
      <c r="H224" s="238" t="s">
        <v>94</v>
      </c>
      <c r="I224" s="239" t="s">
        <v>94</v>
      </c>
      <c r="J224" s="106" t="s">
        <v>94</v>
      </c>
    </row>
    <row r="225" spans="2:11">
      <c r="B225" s="155" t="s">
        <v>94</v>
      </c>
      <c r="C225" s="103" t="s">
        <v>94</v>
      </c>
      <c r="D225" s="103" t="s">
        <v>94</v>
      </c>
      <c r="E225" s="103" t="s">
        <v>94</v>
      </c>
      <c r="F225" s="240" t="s">
        <v>94</v>
      </c>
      <c r="G225" s="241" t="s">
        <v>94</v>
      </c>
      <c r="H225" s="241" t="s">
        <v>94</v>
      </c>
      <c r="I225" s="242" t="s">
        <v>94</v>
      </c>
      <c r="J225" s="103" t="s">
        <v>94</v>
      </c>
    </row>
    <row r="226" spans="2:11">
      <c r="B226" s="158" t="s">
        <v>94</v>
      </c>
      <c r="C226" s="106" t="s">
        <v>94</v>
      </c>
      <c r="D226" s="106" t="s">
        <v>94</v>
      </c>
      <c r="E226" s="106" t="s">
        <v>94</v>
      </c>
      <c r="F226" s="237" t="s">
        <v>94</v>
      </c>
      <c r="G226" s="238" t="s">
        <v>94</v>
      </c>
      <c r="H226" s="238" t="s">
        <v>94</v>
      </c>
      <c r="I226" s="239" t="s">
        <v>94</v>
      </c>
      <c r="J226" s="106" t="s">
        <v>94</v>
      </c>
    </row>
    <row r="227" spans="2:11">
      <c r="B227" s="155" t="s">
        <v>94</v>
      </c>
      <c r="C227" s="103" t="s">
        <v>94</v>
      </c>
      <c r="D227" s="103" t="s">
        <v>94</v>
      </c>
      <c r="E227" s="103" t="s">
        <v>94</v>
      </c>
      <c r="F227" s="240" t="s">
        <v>94</v>
      </c>
      <c r="G227" s="241" t="s">
        <v>94</v>
      </c>
      <c r="H227" s="241" t="s">
        <v>94</v>
      </c>
      <c r="I227" s="242" t="s">
        <v>94</v>
      </c>
      <c r="J227" s="103" t="s">
        <v>94</v>
      </c>
    </row>
    <row r="228" spans="2:11">
      <c r="B228" s="158" t="s">
        <v>94</v>
      </c>
      <c r="C228" s="106" t="s">
        <v>94</v>
      </c>
      <c r="D228" s="106" t="s">
        <v>94</v>
      </c>
      <c r="E228" s="106" t="s">
        <v>94</v>
      </c>
      <c r="F228" s="237" t="s">
        <v>94</v>
      </c>
      <c r="G228" s="238" t="s">
        <v>94</v>
      </c>
      <c r="H228" s="238" t="s">
        <v>94</v>
      </c>
      <c r="I228" s="239" t="s">
        <v>94</v>
      </c>
      <c r="J228" s="106" t="s">
        <v>94</v>
      </c>
    </row>
    <row r="229" spans="2:11">
      <c r="B229" s="155" t="s">
        <v>94</v>
      </c>
      <c r="C229" s="103" t="s">
        <v>94</v>
      </c>
      <c r="D229" s="103" t="s">
        <v>94</v>
      </c>
      <c r="E229" s="103" t="s">
        <v>94</v>
      </c>
      <c r="F229" s="240" t="s">
        <v>94</v>
      </c>
      <c r="G229" s="241" t="s">
        <v>94</v>
      </c>
      <c r="H229" s="241" t="s">
        <v>94</v>
      </c>
      <c r="I229" s="242" t="s">
        <v>94</v>
      </c>
      <c r="J229" s="103" t="s">
        <v>94</v>
      </c>
    </row>
    <row r="230" spans="2:11">
      <c r="B230" s="158" t="s">
        <v>94</v>
      </c>
      <c r="C230" s="106" t="s">
        <v>94</v>
      </c>
      <c r="D230" s="106" t="s">
        <v>94</v>
      </c>
      <c r="E230" s="106" t="s">
        <v>94</v>
      </c>
      <c r="F230" s="237" t="s">
        <v>94</v>
      </c>
      <c r="G230" s="238" t="s">
        <v>94</v>
      </c>
      <c r="H230" s="238" t="s">
        <v>94</v>
      </c>
      <c r="I230" s="239" t="s">
        <v>94</v>
      </c>
      <c r="J230" s="106" t="s">
        <v>94</v>
      </c>
    </row>
    <row r="231" spans="2:11">
      <c r="B231" s="155" t="s">
        <v>94</v>
      </c>
      <c r="C231" s="103" t="s">
        <v>94</v>
      </c>
      <c r="D231" s="103" t="s">
        <v>94</v>
      </c>
      <c r="E231" s="103" t="s">
        <v>94</v>
      </c>
      <c r="F231" s="240" t="s">
        <v>94</v>
      </c>
      <c r="G231" s="241" t="s">
        <v>94</v>
      </c>
      <c r="H231" s="241" t="s">
        <v>94</v>
      </c>
      <c r="I231" s="242" t="s">
        <v>94</v>
      </c>
      <c r="J231" s="103" t="s">
        <v>94</v>
      </c>
    </row>
    <row r="232" spans="2:11">
      <c r="B232" s="158" t="s">
        <v>94</v>
      </c>
      <c r="C232" s="106" t="s">
        <v>94</v>
      </c>
      <c r="D232" s="106" t="s">
        <v>94</v>
      </c>
      <c r="E232" s="106" t="s">
        <v>94</v>
      </c>
      <c r="F232" s="237" t="s">
        <v>94</v>
      </c>
      <c r="G232" s="238" t="s">
        <v>94</v>
      </c>
      <c r="H232" s="238" t="s">
        <v>94</v>
      </c>
      <c r="I232" s="239" t="s">
        <v>94</v>
      </c>
      <c r="J232" s="106" t="s">
        <v>94</v>
      </c>
    </row>
    <row r="233" spans="2:11">
      <c r="B233" s="158" t="s">
        <v>71</v>
      </c>
      <c r="C233" s="106">
        <v>113</v>
      </c>
      <c r="D233" s="106">
        <v>0</v>
      </c>
      <c r="E233" s="106">
        <v>0</v>
      </c>
      <c r="F233" s="237">
        <v>42</v>
      </c>
      <c r="G233" s="238">
        <v>27</v>
      </c>
      <c r="H233" s="238">
        <v>30</v>
      </c>
      <c r="I233" s="239">
        <v>16</v>
      </c>
      <c r="J233" s="106">
        <v>0</v>
      </c>
    </row>
    <row r="234" spans="2:11">
      <c r="B234" s="158" t="s">
        <v>58</v>
      </c>
      <c r="C234" s="106">
        <v>290</v>
      </c>
      <c r="D234" s="106">
        <v>0</v>
      </c>
      <c r="E234" s="106">
        <v>110</v>
      </c>
      <c r="F234" s="237">
        <v>84</v>
      </c>
      <c r="G234" s="238">
        <v>35</v>
      </c>
      <c r="H234" s="238">
        <v>219</v>
      </c>
      <c r="I234" s="239">
        <v>52</v>
      </c>
      <c r="J234" s="106">
        <v>10</v>
      </c>
    </row>
    <row r="235" spans="2:11" ht="15.75">
      <c r="B235" s="115" t="s">
        <v>72</v>
      </c>
      <c r="C235" s="116">
        <f>C16</f>
        <v>3002</v>
      </c>
      <c r="D235" s="116">
        <f>C17</f>
        <v>37</v>
      </c>
      <c r="E235" s="116">
        <f>C18</f>
        <v>124</v>
      </c>
      <c r="F235" s="1187" t="s">
        <v>169</v>
      </c>
      <c r="G235" s="1187" t="s">
        <v>170</v>
      </c>
      <c r="H235" s="1187" t="s">
        <v>171</v>
      </c>
      <c r="I235" s="1187" t="s">
        <v>172</v>
      </c>
      <c r="J235" s="1187" t="s">
        <v>173</v>
      </c>
    </row>
    <row r="236" spans="2:11">
      <c r="J236" s="180"/>
    </row>
    <row r="237" spans="2:11">
      <c r="J237" s="183"/>
    </row>
    <row r="239" spans="2:11" ht="15.75">
      <c r="K239" s="285" t="s">
        <v>642</v>
      </c>
    </row>
    <row r="240" spans="2:11" ht="15.75">
      <c r="B240" s="499" t="s">
        <v>857</v>
      </c>
      <c r="C240" s="500"/>
      <c r="D240" s="500"/>
      <c r="E240" s="500"/>
      <c r="F240" s="500"/>
      <c r="G240" s="500"/>
      <c r="H240" s="500"/>
      <c r="I240" s="500"/>
      <c r="J240" s="501"/>
    </row>
    <row r="241" spans="2:10" ht="15.75">
      <c r="B241" s="502" t="s">
        <v>424</v>
      </c>
      <c r="C241" s="503"/>
      <c r="D241" s="503"/>
      <c r="E241" s="503"/>
      <c r="F241" s="503"/>
      <c r="G241" s="503"/>
      <c r="H241" s="503"/>
      <c r="I241" s="503"/>
      <c r="J241" s="504"/>
    </row>
    <row r="242" spans="2:10" ht="15.75">
      <c r="B242" s="505" t="s">
        <v>824</v>
      </c>
      <c r="C242" s="506"/>
      <c r="D242" s="506"/>
      <c r="E242" s="506"/>
      <c r="F242" s="506"/>
      <c r="G242" s="506"/>
      <c r="H242" s="506"/>
      <c r="I242" s="506"/>
      <c r="J242" s="507"/>
    </row>
  </sheetData>
  <sheetProtection password="C6DE" sheet="1" objects="1" scenarios="1"/>
  <mergeCells count="4">
    <mergeCell ref="C170:F170"/>
    <mergeCell ref="I30:J30"/>
    <mergeCell ref="J1:K1"/>
    <mergeCell ref="H2:K2"/>
  </mergeCells>
  <hyperlinks>
    <hyperlink ref="J1:K1" location="'Index '!A1" display="Back to Index"/>
    <hyperlink ref="K239" location="'3.18 West Daly LGA'!K1" display="Back to top"/>
  </hyperlinks>
  <pageMargins left="0.35433070866141736" right="3.937007874015748E-2" top="0.51181102362204722" bottom="0.35433070866141736" header="0.11811023622047245" footer="0.11811023622047245"/>
  <pageSetup paperSize="9" scale="56" fitToHeight="10" orientation="portrait" horizontalDpi="300" verticalDpi="300" r:id="rId1"/>
  <headerFooter differentFirst="1" alignWithMargins="0">
    <oddHeader>&amp;L&amp;"Helvetica Bold,Bold"&amp;18&amp;K000000X LGA (Continued)</oddHeader>
  </headerFooter>
  <drawing r:id="rId2"/>
  <tableParts count="6">
    <tablePart r:id="rId3"/>
    <tablePart r:id="rId4"/>
    <tablePart r:id="rId5"/>
    <tablePart r:id="rId6"/>
    <tablePart r:id="rId7"/>
    <tablePart r:id="rId8"/>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showGridLines="0" workbookViewId="0">
      <selection activeCell="M13" sqref="M13"/>
    </sheetView>
  </sheetViews>
  <sheetFormatPr defaultColWidth="8.875" defaultRowHeight="15"/>
  <cols>
    <col min="1" max="1" width="8.875" style="2"/>
    <col min="2" max="2" width="3.5" style="2" customWidth="1"/>
    <col min="3" max="3" width="18.5" style="2" customWidth="1"/>
    <col min="4" max="6" width="8.875" style="2"/>
    <col min="7" max="7" width="3.5" style="2" customWidth="1"/>
    <col min="8" max="8" width="18.5" style="2" customWidth="1"/>
    <col min="9" max="12" width="8.875" style="2"/>
    <col min="13" max="13" width="59.5" style="2" customWidth="1"/>
    <col min="14" max="14" width="8.875" style="2"/>
    <col min="15" max="15" width="28" style="2" customWidth="1"/>
    <col min="16" max="16384" width="8.875" style="2"/>
  </cols>
  <sheetData>
    <row r="1" spans="1:17" ht="18.75">
      <c r="A1" s="8" t="s">
        <v>437</v>
      </c>
      <c r="K1" s="1244" t="s">
        <v>359</v>
      </c>
      <c r="L1" s="1244"/>
    </row>
    <row r="2" spans="1:17" ht="15" customHeight="1">
      <c r="A2" s="15" t="s">
        <v>438</v>
      </c>
      <c r="B2" s="15"/>
      <c r="C2" s="15"/>
      <c r="D2" s="15"/>
      <c r="E2" s="15"/>
      <c r="F2" s="15"/>
      <c r="G2" s="15"/>
      <c r="H2" s="15"/>
      <c r="I2" s="15"/>
      <c r="J2" s="15"/>
      <c r="K2" s="15"/>
      <c r="L2" s="15"/>
      <c r="O2" s="16" t="s">
        <v>439</v>
      </c>
      <c r="P2" s="16" t="s">
        <v>440</v>
      </c>
      <c r="Q2" s="16" t="s">
        <v>441</v>
      </c>
    </row>
    <row r="3" spans="1:17" ht="15" customHeight="1">
      <c r="A3" s="15"/>
      <c r="B3" s="15"/>
      <c r="C3" s="15"/>
      <c r="D3" s="15"/>
      <c r="E3" s="15"/>
      <c r="F3" s="15"/>
      <c r="G3" s="15"/>
      <c r="H3" s="15"/>
      <c r="I3" s="1272" t="s">
        <v>394</v>
      </c>
      <c r="J3" s="1272"/>
      <c r="K3" s="1272"/>
      <c r="L3" s="1272"/>
      <c r="O3" s="17" t="s">
        <v>442</v>
      </c>
      <c r="P3" s="18">
        <v>24956</v>
      </c>
      <c r="Q3" s="16">
        <v>31.670452670719172</v>
      </c>
    </row>
    <row r="4" spans="1:17" ht="15" customHeight="1">
      <c r="O4" s="17" t="s">
        <v>443</v>
      </c>
      <c r="P4" s="18">
        <v>6849</v>
      </c>
      <c r="Q4" s="16">
        <v>20.271710175812466</v>
      </c>
    </row>
    <row r="5" spans="1:17" ht="15" customHeight="1">
      <c r="O5" s="17" t="s">
        <v>444</v>
      </c>
      <c r="P5" s="18">
        <v>5796</v>
      </c>
      <c r="Q5" s="16">
        <v>23.417235667245766</v>
      </c>
    </row>
    <row r="6" spans="1:17" ht="15" customHeight="1">
      <c r="O6" s="17" t="s">
        <v>445</v>
      </c>
      <c r="P6" s="18">
        <v>3029</v>
      </c>
      <c r="Q6" s="16">
        <v>12.696483212474327</v>
      </c>
    </row>
    <row r="7" spans="1:17" ht="15" customHeight="1">
      <c r="O7" s="17" t="s">
        <v>446</v>
      </c>
      <c r="P7" s="18">
        <v>1159</v>
      </c>
      <c r="Q7" s="16">
        <v>11.925095174400658</v>
      </c>
    </row>
    <row r="8" spans="1:17" ht="15" customHeight="1">
      <c r="O8" s="17" t="s">
        <v>447</v>
      </c>
      <c r="P8" s="18">
        <v>505</v>
      </c>
      <c r="Q8" s="16">
        <v>7.5894198978058309</v>
      </c>
    </row>
    <row r="9" spans="1:17" ht="15" customHeight="1">
      <c r="O9" s="17" t="s">
        <v>448</v>
      </c>
      <c r="P9" s="18">
        <v>246</v>
      </c>
      <c r="Q9" s="16">
        <v>3.9728682170542635</v>
      </c>
    </row>
    <row r="10" spans="1:17" ht="15" customHeight="1">
      <c r="O10" s="17" t="s">
        <v>449</v>
      </c>
      <c r="P10" s="18">
        <v>205</v>
      </c>
      <c r="Q10" s="16">
        <v>3.1519065190651911</v>
      </c>
    </row>
    <row r="11" spans="1:17" ht="15" customHeight="1">
      <c r="O11" s="17" t="s">
        <v>450</v>
      </c>
      <c r="P11" s="18">
        <v>169</v>
      </c>
      <c r="Q11" s="16">
        <v>2.8021886917592438</v>
      </c>
    </row>
    <row r="12" spans="1:17" ht="15" customHeight="1">
      <c r="O12" s="17" t="s">
        <v>451</v>
      </c>
      <c r="P12" s="18">
        <v>159</v>
      </c>
      <c r="Q12" s="16">
        <v>12.063732928679819</v>
      </c>
    </row>
    <row r="13" spans="1:17" ht="15" customHeight="1">
      <c r="O13" s="17" t="s">
        <v>452</v>
      </c>
      <c r="P13" s="18">
        <v>138</v>
      </c>
      <c r="Q13" s="16">
        <v>1.5289164635497452</v>
      </c>
    </row>
    <row r="14" spans="1:17" ht="15" customHeight="1">
      <c r="O14" s="17" t="s">
        <v>453</v>
      </c>
      <c r="P14" s="18">
        <v>101</v>
      </c>
      <c r="Q14" s="16">
        <v>2.7505446623093679</v>
      </c>
    </row>
    <row r="15" spans="1:17" ht="15" customHeight="1">
      <c r="O15" s="17" t="s">
        <v>454</v>
      </c>
      <c r="P15" s="18">
        <v>94</v>
      </c>
      <c r="Q15" s="16">
        <v>3.339253996447602</v>
      </c>
    </row>
    <row r="16" spans="1:17" ht="15" customHeight="1">
      <c r="O16" s="17" t="s">
        <v>455</v>
      </c>
      <c r="P16" s="18">
        <v>81</v>
      </c>
      <c r="Q16" s="16">
        <v>17.608695652173914</v>
      </c>
    </row>
    <row r="17" spans="2:17" ht="15" customHeight="1">
      <c r="O17" s="17" t="s">
        <v>456</v>
      </c>
      <c r="P17" s="18">
        <v>70</v>
      </c>
      <c r="Q17" s="16">
        <v>2.8548123980424145</v>
      </c>
    </row>
    <row r="18" spans="2:17" ht="15" customHeight="1">
      <c r="O18" s="17" t="s">
        <v>457</v>
      </c>
      <c r="P18" s="18">
        <v>37</v>
      </c>
      <c r="Q18" s="16">
        <v>1.1682980738869593</v>
      </c>
    </row>
    <row r="19" spans="2:17" ht="15" customHeight="1">
      <c r="O19" s="17" t="s">
        <v>458</v>
      </c>
      <c r="P19" s="18">
        <v>0</v>
      </c>
      <c r="Q19" s="16">
        <v>0</v>
      </c>
    </row>
    <row r="20" spans="2:17" ht="15" customHeight="1">
      <c r="O20" s="17"/>
      <c r="P20" s="18"/>
      <c r="Q20" s="16"/>
    </row>
    <row r="21" spans="2:17" ht="15" customHeight="1">
      <c r="O21" s="17"/>
      <c r="P21" s="18"/>
      <c r="Q21" s="16"/>
    </row>
    <row r="22" spans="2:17" ht="15" customHeight="1">
      <c r="O22" s="17"/>
      <c r="P22" s="18"/>
      <c r="Q22" s="16"/>
    </row>
    <row r="23" spans="2:17" ht="15" customHeight="1">
      <c r="O23" s="17"/>
      <c r="P23" s="18"/>
      <c r="Q23" s="16"/>
    </row>
    <row r="24" spans="2:17" ht="15" customHeight="1">
      <c r="O24" s="17"/>
      <c r="P24" s="18"/>
      <c r="Q24" s="16"/>
    </row>
    <row r="25" spans="2:17" ht="30">
      <c r="B25" s="19" t="s">
        <v>459</v>
      </c>
      <c r="C25" s="20" t="s">
        <v>439</v>
      </c>
      <c r="D25" s="21" t="s">
        <v>460</v>
      </c>
      <c r="E25" s="22" t="s">
        <v>441</v>
      </c>
      <c r="G25" s="19" t="s">
        <v>459</v>
      </c>
      <c r="H25" s="20" t="s">
        <v>439</v>
      </c>
      <c r="I25" s="21" t="s">
        <v>460</v>
      </c>
      <c r="J25" s="22" t="s">
        <v>441</v>
      </c>
    </row>
    <row r="26" spans="2:17">
      <c r="B26" s="23">
        <v>1</v>
      </c>
      <c r="C26" s="24" t="s">
        <v>442</v>
      </c>
      <c r="D26" s="25">
        <v>24956</v>
      </c>
      <c r="E26" s="26">
        <v>31.670452670719172</v>
      </c>
      <c r="G26" s="23">
        <v>10</v>
      </c>
      <c r="H26" s="24" t="s">
        <v>451</v>
      </c>
      <c r="I26" s="25">
        <v>159</v>
      </c>
      <c r="J26" s="26">
        <v>12.063732928679819</v>
      </c>
    </row>
    <row r="27" spans="2:17">
      <c r="B27" s="23">
        <v>2</v>
      </c>
      <c r="C27" s="24" t="s">
        <v>443</v>
      </c>
      <c r="D27" s="25">
        <v>6849</v>
      </c>
      <c r="E27" s="26">
        <v>20.271710175812466</v>
      </c>
      <c r="G27" s="23">
        <v>11</v>
      </c>
      <c r="H27" s="24" t="s">
        <v>452</v>
      </c>
      <c r="I27" s="25">
        <v>138</v>
      </c>
      <c r="J27" s="26">
        <v>1.5289164635497452</v>
      </c>
    </row>
    <row r="28" spans="2:17">
      <c r="B28" s="23">
        <v>3</v>
      </c>
      <c r="C28" s="24" t="s">
        <v>444</v>
      </c>
      <c r="D28" s="25">
        <v>5796</v>
      </c>
      <c r="E28" s="26">
        <v>23.417235667245766</v>
      </c>
      <c r="G28" s="23">
        <v>12</v>
      </c>
      <c r="H28" s="24" t="s">
        <v>453</v>
      </c>
      <c r="I28" s="25">
        <v>101</v>
      </c>
      <c r="J28" s="26">
        <v>2.7505446623093679</v>
      </c>
    </row>
    <row r="29" spans="2:17">
      <c r="B29" s="23">
        <v>4</v>
      </c>
      <c r="C29" s="24" t="s">
        <v>445</v>
      </c>
      <c r="D29" s="25">
        <v>3029</v>
      </c>
      <c r="E29" s="26">
        <v>12.696483212474327</v>
      </c>
      <c r="G29" s="23">
        <v>13</v>
      </c>
      <c r="H29" s="24" t="s">
        <v>454</v>
      </c>
      <c r="I29" s="25">
        <v>94</v>
      </c>
      <c r="J29" s="26">
        <v>3.339253996447602</v>
      </c>
    </row>
    <row r="30" spans="2:17">
      <c r="B30" s="23">
        <v>5</v>
      </c>
      <c r="C30" s="24" t="s">
        <v>446</v>
      </c>
      <c r="D30" s="25">
        <v>1159</v>
      </c>
      <c r="E30" s="26">
        <v>11.925095174400658</v>
      </c>
      <c r="G30" s="23">
        <v>14</v>
      </c>
      <c r="H30" s="24" t="s">
        <v>455</v>
      </c>
      <c r="I30" s="25">
        <v>81</v>
      </c>
      <c r="J30" s="26">
        <v>17.608695652173914</v>
      </c>
    </row>
    <row r="31" spans="2:17">
      <c r="B31" s="23">
        <v>6</v>
      </c>
      <c r="C31" s="24" t="s">
        <v>447</v>
      </c>
      <c r="D31" s="25">
        <v>505</v>
      </c>
      <c r="E31" s="26">
        <v>7.5894198978058309</v>
      </c>
      <c r="G31" s="23">
        <v>15</v>
      </c>
      <c r="H31" s="24" t="s">
        <v>456</v>
      </c>
      <c r="I31" s="25">
        <v>70</v>
      </c>
      <c r="J31" s="26">
        <v>2.8548123980424145</v>
      </c>
    </row>
    <row r="32" spans="2:17">
      <c r="B32" s="23">
        <v>7</v>
      </c>
      <c r="C32" s="24" t="s">
        <v>448</v>
      </c>
      <c r="D32" s="25">
        <v>246</v>
      </c>
      <c r="E32" s="26">
        <v>3.9728682170542635</v>
      </c>
      <c r="G32" s="23">
        <v>16</v>
      </c>
      <c r="H32" s="24" t="s">
        <v>457</v>
      </c>
      <c r="I32" s="25">
        <v>37</v>
      </c>
      <c r="J32" s="26">
        <v>1.1682980738869593</v>
      </c>
    </row>
    <row r="33" spans="2:10">
      <c r="B33" s="23">
        <v>8</v>
      </c>
      <c r="C33" s="24" t="s">
        <v>449</v>
      </c>
      <c r="D33" s="25">
        <v>205</v>
      </c>
      <c r="E33" s="26">
        <v>3.1519065190651911</v>
      </c>
      <c r="G33" s="23">
        <v>17</v>
      </c>
      <c r="H33" s="24" t="s">
        <v>458</v>
      </c>
      <c r="I33" s="25">
        <v>0</v>
      </c>
      <c r="J33" s="26">
        <v>0</v>
      </c>
    </row>
    <row r="34" spans="2:10">
      <c r="B34" s="27">
        <v>9</v>
      </c>
      <c r="C34" s="28" t="s">
        <v>450</v>
      </c>
      <c r="D34" s="29">
        <v>169</v>
      </c>
      <c r="E34" s="30">
        <v>2.8021886917592438</v>
      </c>
      <c r="G34" s="27"/>
      <c r="H34" s="31"/>
      <c r="I34" s="31"/>
      <c r="J34" s="32"/>
    </row>
  </sheetData>
  <sheetProtection password="C6DE" sheet="1" objects="1" scenarios="1"/>
  <mergeCells count="2">
    <mergeCell ref="K1:L1"/>
    <mergeCell ref="I3:L3"/>
  </mergeCells>
  <hyperlinks>
    <hyperlink ref="K1:L1" location="'Index '!A1" display="Back to Index"/>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zoomScaleNormal="100" workbookViewId="0"/>
  </sheetViews>
  <sheetFormatPr defaultColWidth="8.875" defaultRowHeight="15"/>
  <cols>
    <col min="1" max="1" width="8.875" style="2"/>
    <col min="2" max="2" width="3.5" style="2" customWidth="1"/>
    <col min="3" max="3" width="18.5" style="2" customWidth="1"/>
    <col min="4" max="5" width="10.625" style="2" customWidth="1"/>
    <col min="6" max="6" width="8.875" style="2"/>
    <col min="7" max="7" width="3.5" style="2" customWidth="1"/>
    <col min="8" max="8" width="18.5" style="2" customWidth="1"/>
    <col min="9" max="10" width="10.625" style="2" customWidth="1"/>
    <col min="11" max="14" width="8.875" style="2"/>
    <col min="15" max="15" width="29.875" style="2" customWidth="1"/>
    <col min="16" max="16384" width="8.875" style="2"/>
  </cols>
  <sheetData>
    <row r="1" spans="1:17" ht="18.75">
      <c r="A1" s="8" t="s">
        <v>461</v>
      </c>
      <c r="K1" s="1244" t="s">
        <v>359</v>
      </c>
      <c r="L1" s="1244"/>
    </row>
    <row r="2" spans="1:17" ht="15.75">
      <c r="A2" s="15" t="s">
        <v>462</v>
      </c>
      <c r="B2" s="15"/>
      <c r="C2" s="15"/>
      <c r="D2" s="15"/>
      <c r="E2" s="15"/>
      <c r="F2" s="15"/>
      <c r="G2" s="15"/>
      <c r="H2" s="15"/>
      <c r="I2" s="15"/>
      <c r="J2" s="15"/>
      <c r="K2" s="15"/>
      <c r="L2" s="15"/>
      <c r="O2" s="16" t="s">
        <v>439</v>
      </c>
      <c r="P2" s="16" t="s">
        <v>440</v>
      </c>
      <c r="Q2" s="16" t="s">
        <v>441</v>
      </c>
    </row>
    <row r="3" spans="1:17" ht="15.75">
      <c r="A3" s="15"/>
      <c r="B3" s="15"/>
      <c r="C3" s="15"/>
      <c r="D3" s="15"/>
      <c r="E3" s="15"/>
      <c r="F3" s="15"/>
      <c r="G3" s="15"/>
      <c r="H3" s="15"/>
      <c r="I3" s="1272" t="s">
        <v>394</v>
      </c>
      <c r="J3" s="1272"/>
      <c r="K3" s="1272"/>
      <c r="L3" s="1272"/>
      <c r="O3" s="33" t="s">
        <v>442</v>
      </c>
      <c r="P3" s="18">
        <v>24956</v>
      </c>
      <c r="Q3" s="34">
        <v>31.670452670719172</v>
      </c>
    </row>
    <row r="4" spans="1:17">
      <c r="O4" s="33" t="s">
        <v>444</v>
      </c>
      <c r="P4" s="18">
        <v>5796</v>
      </c>
      <c r="Q4" s="34">
        <v>23.417235667245766</v>
      </c>
    </row>
    <row r="5" spans="1:17">
      <c r="O5" s="33" t="s">
        <v>443</v>
      </c>
      <c r="P5" s="18">
        <v>6849</v>
      </c>
      <c r="Q5" s="34">
        <v>20.271710175812466</v>
      </c>
    </row>
    <row r="6" spans="1:17">
      <c r="O6" s="33" t="s">
        <v>455</v>
      </c>
      <c r="P6" s="18">
        <v>81</v>
      </c>
      <c r="Q6" s="34">
        <v>17.608695652173914</v>
      </c>
    </row>
    <row r="7" spans="1:17">
      <c r="O7" s="33" t="s">
        <v>445</v>
      </c>
      <c r="P7" s="18">
        <v>3029</v>
      </c>
      <c r="Q7" s="34">
        <v>12.696483212474327</v>
      </c>
    </row>
    <row r="8" spans="1:17">
      <c r="O8" s="33" t="s">
        <v>451</v>
      </c>
      <c r="P8" s="18">
        <v>159</v>
      </c>
      <c r="Q8" s="34">
        <v>12.063732928679819</v>
      </c>
    </row>
    <row r="9" spans="1:17">
      <c r="O9" s="33" t="s">
        <v>446</v>
      </c>
      <c r="P9" s="18">
        <v>1159</v>
      </c>
      <c r="Q9" s="34">
        <v>11.925095174400658</v>
      </c>
    </row>
    <row r="10" spans="1:17">
      <c r="O10" s="33" t="s">
        <v>447</v>
      </c>
      <c r="P10" s="18">
        <v>505</v>
      </c>
      <c r="Q10" s="34">
        <v>7.5894198978058309</v>
      </c>
    </row>
    <row r="11" spans="1:17">
      <c r="O11" s="33" t="s">
        <v>448</v>
      </c>
      <c r="P11" s="18">
        <v>246</v>
      </c>
      <c r="Q11" s="34">
        <v>3.9728682170542635</v>
      </c>
    </row>
    <row r="12" spans="1:17">
      <c r="O12" s="33" t="s">
        <v>454</v>
      </c>
      <c r="P12" s="18">
        <v>94</v>
      </c>
      <c r="Q12" s="34">
        <v>3.339253996447602</v>
      </c>
    </row>
    <row r="13" spans="1:17">
      <c r="O13" s="33" t="s">
        <v>449</v>
      </c>
      <c r="P13" s="18">
        <v>205</v>
      </c>
      <c r="Q13" s="34">
        <v>3.1519065190651911</v>
      </c>
    </row>
    <row r="14" spans="1:17">
      <c r="O14" s="33" t="s">
        <v>456</v>
      </c>
      <c r="P14" s="18">
        <v>70</v>
      </c>
      <c r="Q14" s="34">
        <v>2.8548123980424145</v>
      </c>
    </row>
    <row r="15" spans="1:17">
      <c r="O15" s="33" t="s">
        <v>450</v>
      </c>
      <c r="P15" s="18">
        <v>169</v>
      </c>
      <c r="Q15" s="34">
        <v>2.8021886917592438</v>
      </c>
    </row>
    <row r="16" spans="1:17">
      <c r="O16" s="33" t="s">
        <v>453</v>
      </c>
      <c r="P16" s="18">
        <v>101</v>
      </c>
      <c r="Q16" s="34">
        <v>2.7505446623093679</v>
      </c>
    </row>
    <row r="17" spans="2:17">
      <c r="O17" s="33" t="s">
        <v>452</v>
      </c>
      <c r="P17" s="18">
        <v>138</v>
      </c>
      <c r="Q17" s="34">
        <v>1.5289164635497452</v>
      </c>
    </row>
    <row r="18" spans="2:17">
      <c r="O18" s="33" t="s">
        <v>457</v>
      </c>
      <c r="P18" s="18">
        <v>37</v>
      </c>
      <c r="Q18" s="34">
        <v>1.1682980738869593</v>
      </c>
    </row>
    <row r="19" spans="2:17">
      <c r="O19" s="33" t="s">
        <v>458</v>
      </c>
      <c r="P19" s="18">
        <v>0</v>
      </c>
      <c r="Q19" s="34">
        <v>0</v>
      </c>
    </row>
    <row r="26" spans="2:17" ht="30">
      <c r="B26" s="19" t="s">
        <v>459</v>
      </c>
      <c r="C26" s="20" t="s">
        <v>439</v>
      </c>
      <c r="D26" s="21" t="s">
        <v>460</v>
      </c>
      <c r="E26" s="22" t="s">
        <v>441</v>
      </c>
      <c r="G26" s="19" t="s">
        <v>459</v>
      </c>
      <c r="H26" s="20" t="s">
        <v>439</v>
      </c>
      <c r="I26" s="21" t="s">
        <v>460</v>
      </c>
      <c r="J26" s="22" t="s">
        <v>441</v>
      </c>
    </row>
    <row r="27" spans="2:17">
      <c r="B27" s="23">
        <v>1</v>
      </c>
      <c r="C27" s="24" t="s">
        <v>442</v>
      </c>
      <c r="D27" s="25">
        <v>24956</v>
      </c>
      <c r="E27" s="26">
        <v>31.670452670719172</v>
      </c>
      <c r="G27" s="23">
        <v>10</v>
      </c>
      <c r="H27" s="24" t="s">
        <v>451</v>
      </c>
      <c r="I27" s="25">
        <v>159</v>
      </c>
      <c r="J27" s="26">
        <v>12.063732928679819</v>
      </c>
    </row>
    <row r="28" spans="2:17">
      <c r="B28" s="23">
        <v>2</v>
      </c>
      <c r="C28" s="24" t="s">
        <v>443</v>
      </c>
      <c r="D28" s="25">
        <v>6849</v>
      </c>
      <c r="E28" s="26">
        <v>20.271710175812466</v>
      </c>
      <c r="G28" s="23">
        <v>11</v>
      </c>
      <c r="H28" s="24" t="s">
        <v>452</v>
      </c>
      <c r="I28" s="25">
        <v>138</v>
      </c>
      <c r="J28" s="26">
        <v>1.5289164635497452</v>
      </c>
    </row>
    <row r="29" spans="2:17">
      <c r="B29" s="23">
        <v>3</v>
      </c>
      <c r="C29" s="24" t="s">
        <v>444</v>
      </c>
      <c r="D29" s="25">
        <v>5796</v>
      </c>
      <c r="E29" s="26">
        <v>23.417235667245766</v>
      </c>
      <c r="G29" s="23">
        <v>12</v>
      </c>
      <c r="H29" s="24" t="s">
        <v>453</v>
      </c>
      <c r="I29" s="25">
        <v>101</v>
      </c>
      <c r="J29" s="26">
        <v>2.7505446623093679</v>
      </c>
    </row>
    <row r="30" spans="2:17">
      <c r="B30" s="23">
        <v>4</v>
      </c>
      <c r="C30" s="24" t="s">
        <v>445</v>
      </c>
      <c r="D30" s="25">
        <v>3029</v>
      </c>
      <c r="E30" s="26">
        <v>12.696483212474327</v>
      </c>
      <c r="G30" s="23">
        <v>13</v>
      </c>
      <c r="H30" s="24" t="s">
        <v>454</v>
      </c>
      <c r="I30" s="25">
        <v>94</v>
      </c>
      <c r="J30" s="26">
        <v>3.339253996447602</v>
      </c>
    </row>
    <row r="31" spans="2:17">
      <c r="B31" s="23">
        <v>5</v>
      </c>
      <c r="C31" s="24" t="s">
        <v>446</v>
      </c>
      <c r="D31" s="25">
        <v>1159</v>
      </c>
      <c r="E31" s="26">
        <v>11.925095174400658</v>
      </c>
      <c r="G31" s="23">
        <v>14</v>
      </c>
      <c r="H31" s="24" t="s">
        <v>455</v>
      </c>
      <c r="I31" s="25">
        <v>81</v>
      </c>
      <c r="J31" s="26">
        <v>17.608695652173914</v>
      </c>
    </row>
    <row r="32" spans="2:17">
      <c r="B32" s="23">
        <v>6</v>
      </c>
      <c r="C32" s="24" t="s">
        <v>447</v>
      </c>
      <c r="D32" s="25">
        <v>505</v>
      </c>
      <c r="E32" s="26">
        <v>7.5894198978058309</v>
      </c>
      <c r="G32" s="23">
        <v>15</v>
      </c>
      <c r="H32" s="24" t="s">
        <v>456</v>
      </c>
      <c r="I32" s="25">
        <v>70</v>
      </c>
      <c r="J32" s="26">
        <v>2.8548123980424145</v>
      </c>
    </row>
    <row r="33" spans="2:10">
      <c r="B33" s="23">
        <v>7</v>
      </c>
      <c r="C33" s="24" t="s">
        <v>448</v>
      </c>
      <c r="D33" s="25">
        <v>246</v>
      </c>
      <c r="E33" s="26">
        <v>3.9728682170542635</v>
      </c>
      <c r="G33" s="23">
        <v>16</v>
      </c>
      <c r="H33" s="24" t="s">
        <v>457</v>
      </c>
      <c r="I33" s="25">
        <v>37</v>
      </c>
      <c r="J33" s="26">
        <v>1.1682980738869593</v>
      </c>
    </row>
    <row r="34" spans="2:10">
      <c r="B34" s="23">
        <v>8</v>
      </c>
      <c r="C34" s="24" t="s">
        <v>449</v>
      </c>
      <c r="D34" s="25">
        <v>205</v>
      </c>
      <c r="E34" s="26">
        <v>3.1519065190651911</v>
      </c>
      <c r="G34" s="23">
        <v>17</v>
      </c>
      <c r="H34" s="24" t="s">
        <v>458</v>
      </c>
      <c r="I34" s="25">
        <v>0</v>
      </c>
      <c r="J34" s="26">
        <v>0</v>
      </c>
    </row>
    <row r="35" spans="2:10">
      <c r="B35" s="27">
        <v>9</v>
      </c>
      <c r="C35" s="28" t="s">
        <v>450</v>
      </c>
      <c r="D35" s="29">
        <v>169</v>
      </c>
      <c r="E35" s="30">
        <v>2.8021886917592438</v>
      </c>
      <c r="G35" s="27"/>
      <c r="H35" s="31"/>
      <c r="I35" s="31"/>
      <c r="J35" s="32"/>
    </row>
  </sheetData>
  <sheetProtection password="C6DE" sheet="1" objects="1" scenarios="1"/>
  <mergeCells count="2">
    <mergeCell ref="K1:L1"/>
    <mergeCell ref="I3:L3"/>
  </mergeCells>
  <hyperlinks>
    <hyperlink ref="K1:L1" location="'Index '!A1" display="Back to Index"/>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92"/>
  <sheetViews>
    <sheetView showGridLines="0" zoomScale="70" zoomScaleNormal="70" workbookViewId="0">
      <selection activeCell="M1" sqref="M1:N1"/>
    </sheetView>
  </sheetViews>
  <sheetFormatPr defaultColWidth="8.875" defaultRowHeight="15"/>
  <cols>
    <col min="1" max="16384" width="8.875" style="2"/>
  </cols>
  <sheetData>
    <row r="1" spans="1:41" ht="18.75">
      <c r="A1" s="8" t="s">
        <v>463</v>
      </c>
      <c r="M1" s="1244" t="s">
        <v>359</v>
      </c>
      <c r="N1" s="1244"/>
    </row>
    <row r="2" spans="1:41" ht="15.75">
      <c r="A2" s="15" t="s">
        <v>853</v>
      </c>
      <c r="B2" s="15"/>
      <c r="C2" s="15"/>
      <c r="D2" s="15"/>
      <c r="E2" s="15"/>
      <c r="F2" s="15"/>
      <c r="G2" s="15"/>
      <c r="H2" s="15"/>
      <c r="I2" s="15"/>
      <c r="J2" s="9"/>
      <c r="K2" s="9"/>
      <c r="L2" s="15"/>
      <c r="M2" s="15"/>
      <c r="N2" s="15"/>
      <c r="O2" s="15"/>
      <c r="P2" s="15"/>
      <c r="Q2" s="15"/>
      <c r="R2" s="15"/>
      <c r="S2" s="15"/>
      <c r="T2" s="15"/>
      <c r="U2" s="15"/>
      <c r="V2" s="15"/>
      <c r="W2" s="15"/>
      <c r="X2" s="15"/>
      <c r="Y2" s="15"/>
      <c r="Z2" s="15"/>
      <c r="AA2" s="15"/>
      <c r="AB2" s="15"/>
      <c r="AC2" s="15"/>
      <c r="AD2" s="15"/>
      <c r="AE2" s="15"/>
      <c r="AF2" s="15"/>
      <c r="AG2" s="15"/>
      <c r="AH2" s="15"/>
      <c r="AI2" s="15"/>
    </row>
    <row r="3" spans="1:41" ht="15.75">
      <c r="A3" s="15"/>
      <c r="B3" s="15"/>
      <c r="C3" s="15"/>
      <c r="D3" s="15"/>
      <c r="E3" s="15"/>
      <c r="F3" s="9"/>
      <c r="G3" s="9"/>
      <c r="H3" s="9"/>
      <c r="I3" s="9"/>
      <c r="J3" s="9"/>
      <c r="K3" s="9"/>
      <c r="L3" s="9"/>
      <c r="M3" s="15"/>
      <c r="N3" s="15"/>
      <c r="O3" s="15"/>
      <c r="P3" s="15"/>
      <c r="Q3" s="15"/>
      <c r="R3" s="15"/>
      <c r="S3" s="15"/>
      <c r="T3" s="35"/>
      <c r="U3" s="35"/>
      <c r="V3" s="35"/>
      <c r="W3" s="35"/>
      <c r="X3" s="15"/>
      <c r="Y3" s="15"/>
      <c r="Z3" s="15"/>
      <c r="AA3" s="15"/>
      <c r="AB3" s="15"/>
      <c r="AC3" s="15"/>
      <c r="AD3" s="1272" t="s">
        <v>394</v>
      </c>
      <c r="AE3" s="1272"/>
      <c r="AF3" s="1272"/>
      <c r="AG3" s="1272"/>
      <c r="AH3" s="1272"/>
      <c r="AI3" s="1272"/>
      <c r="AJ3" s="36"/>
      <c r="AK3" s="36"/>
      <c r="AL3" s="36"/>
      <c r="AM3" s="36"/>
      <c r="AN3" s="36"/>
      <c r="AO3" s="36"/>
    </row>
    <row r="4" spans="1:41" ht="15.75">
      <c r="A4" s="37"/>
      <c r="B4" s="37"/>
      <c r="C4" s="37"/>
      <c r="D4" s="37"/>
      <c r="E4" s="37"/>
      <c r="F4" s="37"/>
      <c r="G4" s="37"/>
      <c r="H4" s="37"/>
      <c r="I4" s="38"/>
      <c r="J4" s="38"/>
      <c r="K4" s="38"/>
      <c r="L4" s="38"/>
      <c r="O4" s="33"/>
      <c r="P4" s="18"/>
      <c r="Q4" s="34"/>
    </row>
    <row r="5" spans="1:41">
      <c r="A5" s="14" t="s">
        <v>464</v>
      </c>
      <c r="B5" s="41"/>
      <c r="C5" s="41"/>
      <c r="D5" s="41"/>
      <c r="E5" s="41"/>
      <c r="F5" s="41"/>
      <c r="G5" s="41"/>
      <c r="H5" s="41"/>
      <c r="I5" s="41"/>
      <c r="J5" s="14" t="s">
        <v>465</v>
      </c>
      <c r="K5" s="41"/>
      <c r="L5" s="41"/>
      <c r="M5" s="41"/>
      <c r="N5" s="41"/>
      <c r="O5" s="41"/>
      <c r="P5" s="41"/>
      <c r="Q5" s="41"/>
      <c r="R5" s="41"/>
      <c r="S5" s="14" t="s">
        <v>466</v>
      </c>
      <c r="T5" s="41"/>
      <c r="U5" s="41"/>
      <c r="V5" s="41"/>
      <c r="W5" s="41"/>
      <c r="X5" s="41"/>
      <c r="Y5" s="41"/>
      <c r="Z5" s="41"/>
      <c r="AA5" s="41"/>
      <c r="AB5" s="14" t="s">
        <v>467</v>
      </c>
      <c r="AC5" s="41"/>
      <c r="AD5" s="41"/>
      <c r="AE5" s="41"/>
      <c r="AF5" s="41"/>
      <c r="AG5" s="41"/>
      <c r="AH5" s="41"/>
      <c r="AI5" s="41"/>
    </row>
    <row r="6" spans="1:41" s="12" customFormat="1" ht="11.25">
      <c r="A6" s="39" t="s">
        <v>468</v>
      </c>
      <c r="B6" s="40"/>
      <c r="C6" s="40"/>
      <c r="D6" s="40"/>
      <c r="E6" s="40"/>
      <c r="F6" s="40"/>
      <c r="G6" s="40"/>
      <c r="H6" s="40"/>
      <c r="I6" s="40"/>
      <c r="J6" s="39" t="s">
        <v>469</v>
      </c>
      <c r="K6" s="40"/>
      <c r="L6" s="40"/>
      <c r="M6" s="40"/>
      <c r="N6" s="40"/>
      <c r="O6" s="40"/>
      <c r="P6" s="40"/>
      <c r="Q6" s="40"/>
      <c r="R6" s="40"/>
      <c r="S6" s="39" t="s">
        <v>470</v>
      </c>
      <c r="T6" s="40"/>
      <c r="U6" s="40"/>
      <c r="V6" s="40"/>
      <c r="W6" s="40"/>
      <c r="X6" s="40"/>
      <c r="Y6" s="40"/>
      <c r="Z6" s="40"/>
      <c r="AA6" s="40"/>
      <c r="AB6" s="39" t="s">
        <v>471</v>
      </c>
      <c r="AC6" s="40"/>
      <c r="AD6" s="40"/>
      <c r="AE6" s="40"/>
      <c r="AF6" s="40"/>
      <c r="AG6" s="40"/>
      <c r="AH6" s="40"/>
      <c r="AI6" s="40"/>
    </row>
    <row r="7" spans="1:41">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row>
    <row r="8" spans="1:41">
      <c r="A8" s="42"/>
      <c r="B8" s="42"/>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row>
    <row r="9" spans="1:41">
      <c r="A9" s="42"/>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row>
    <row r="10" spans="1:41">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row>
    <row r="11" spans="1:41">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row>
    <row r="12" spans="1:41">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row>
    <row r="13" spans="1:41">
      <c r="A13" s="42"/>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row>
    <row r="14" spans="1:41">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row>
    <row r="15" spans="1:41">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row>
    <row r="16" spans="1:41">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row>
    <row r="17" spans="1:35">
      <c r="A17" s="42"/>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row>
    <row r="18" spans="1:35">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row>
    <row r="19" spans="1:35">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row>
    <row r="20" spans="1:35">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row>
    <row r="21" spans="1:35">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row>
    <row r="22" spans="1:35">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row>
    <row r="23" spans="1:35">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row>
    <row r="24" spans="1:35">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row>
    <row r="25" spans="1:35">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row>
    <row r="26" spans="1:35">
      <c r="A26" s="14" t="s">
        <v>472</v>
      </c>
      <c r="B26" s="41"/>
      <c r="C26" s="41"/>
      <c r="D26" s="41"/>
      <c r="E26" s="41"/>
      <c r="F26" s="41"/>
      <c r="G26" s="41"/>
      <c r="H26" s="41"/>
      <c r="I26" s="41"/>
      <c r="J26" s="41" t="s">
        <v>473</v>
      </c>
      <c r="L26" s="41"/>
      <c r="M26" s="41"/>
      <c r="N26" s="41"/>
      <c r="O26" s="41"/>
      <c r="P26" s="41"/>
      <c r="Q26" s="41"/>
      <c r="R26" s="41"/>
      <c r="S26" s="41" t="s">
        <v>474</v>
      </c>
      <c r="T26" s="41"/>
      <c r="U26" s="41"/>
      <c r="V26" s="41"/>
      <c r="W26" s="41"/>
      <c r="X26" s="41"/>
      <c r="Y26" s="41"/>
      <c r="Z26" s="41"/>
      <c r="AA26" s="41"/>
      <c r="AB26" s="41" t="s">
        <v>475</v>
      </c>
      <c r="AC26" s="41"/>
      <c r="AD26" s="41"/>
      <c r="AE26" s="41"/>
      <c r="AF26" s="41"/>
      <c r="AG26" s="41"/>
      <c r="AH26" s="41"/>
      <c r="AI26" s="41"/>
    </row>
    <row r="27" spans="1:35" s="12" customFormat="1" ht="11.25">
      <c r="A27" s="39" t="s">
        <v>476</v>
      </c>
      <c r="B27" s="40"/>
      <c r="C27" s="40"/>
      <c r="D27" s="40"/>
      <c r="E27" s="40"/>
      <c r="F27" s="40"/>
      <c r="G27" s="40"/>
      <c r="H27" s="40"/>
      <c r="I27" s="40"/>
      <c r="J27" s="39" t="s">
        <v>477</v>
      </c>
      <c r="L27" s="40"/>
      <c r="M27" s="40"/>
      <c r="N27" s="40"/>
      <c r="O27" s="40"/>
      <c r="P27" s="40"/>
      <c r="Q27" s="40"/>
      <c r="R27" s="40"/>
      <c r="S27" s="39" t="s">
        <v>478</v>
      </c>
      <c r="T27" s="40"/>
      <c r="U27" s="40"/>
      <c r="V27" s="40"/>
      <c r="W27" s="40"/>
      <c r="X27" s="40"/>
      <c r="Y27" s="40"/>
      <c r="Z27" s="40"/>
      <c r="AA27" s="40"/>
      <c r="AB27" s="39" t="s">
        <v>479</v>
      </c>
      <c r="AC27" s="40"/>
      <c r="AD27" s="40"/>
      <c r="AE27" s="40"/>
      <c r="AF27" s="40"/>
      <c r="AG27" s="40"/>
      <c r="AH27" s="40"/>
      <c r="AI27" s="40"/>
    </row>
    <row r="28" spans="1:35">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row>
    <row r="29" spans="1:35">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row>
    <row r="30" spans="1:35">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row>
    <row r="31" spans="1:35">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row>
    <row r="32" spans="1:35">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row>
    <row r="33" spans="1:35">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row>
    <row r="34" spans="1:35">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row>
    <row r="35" spans="1:35">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row>
    <row r="36" spans="1:35">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row>
    <row r="37" spans="1:35">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row>
    <row r="38" spans="1:35">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row>
    <row r="39" spans="1:35">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row>
    <row r="40" spans="1:35">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row>
    <row r="41" spans="1:35">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row>
    <row r="42" spans="1:35">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row>
    <row r="43" spans="1:35">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row>
    <row r="44" spans="1:35">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row>
    <row r="45" spans="1:35">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row>
    <row r="46" spans="1:35">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row>
    <row r="47" spans="1:35">
      <c r="A47" s="43" t="s">
        <v>480</v>
      </c>
      <c r="B47" s="41"/>
      <c r="C47" s="41"/>
      <c r="D47" s="41"/>
      <c r="E47" s="41"/>
      <c r="F47" s="41"/>
      <c r="G47" s="41"/>
      <c r="H47" s="41"/>
      <c r="I47" s="41"/>
      <c r="J47" s="41" t="s">
        <v>481</v>
      </c>
      <c r="K47" s="41"/>
      <c r="L47" s="41"/>
      <c r="M47" s="41"/>
      <c r="N47" s="41"/>
      <c r="O47" s="41"/>
      <c r="P47" s="41"/>
      <c r="Q47" s="41"/>
      <c r="R47" s="41"/>
      <c r="S47" s="41" t="s">
        <v>482</v>
      </c>
      <c r="T47" s="41"/>
      <c r="U47" s="41"/>
      <c r="V47" s="41"/>
      <c r="W47" s="41"/>
      <c r="X47" s="41"/>
      <c r="Y47" s="41"/>
      <c r="Z47" s="41"/>
      <c r="AA47" s="41"/>
      <c r="AB47" s="41" t="s">
        <v>483</v>
      </c>
      <c r="AD47" s="41"/>
      <c r="AE47" s="41"/>
      <c r="AF47" s="41"/>
      <c r="AG47" s="41"/>
      <c r="AH47" s="41"/>
      <c r="AI47" s="41"/>
    </row>
    <row r="48" spans="1:35" s="12" customFormat="1" ht="11.25">
      <c r="A48" s="39" t="s">
        <v>484</v>
      </c>
      <c r="B48" s="40"/>
      <c r="C48" s="40"/>
      <c r="D48" s="40"/>
      <c r="E48" s="40"/>
      <c r="F48" s="40"/>
      <c r="G48" s="40"/>
      <c r="H48" s="40"/>
      <c r="I48" s="40"/>
      <c r="J48" s="39" t="s">
        <v>485</v>
      </c>
      <c r="K48" s="40"/>
      <c r="L48" s="40"/>
      <c r="M48" s="40"/>
      <c r="N48" s="40"/>
      <c r="O48" s="40"/>
      <c r="P48" s="40"/>
      <c r="Q48" s="40"/>
      <c r="R48" s="40"/>
      <c r="S48" s="39" t="s">
        <v>486</v>
      </c>
      <c r="T48" s="40"/>
      <c r="U48" s="40"/>
      <c r="V48" s="40"/>
      <c r="W48" s="40"/>
      <c r="X48" s="40"/>
      <c r="Y48" s="40"/>
      <c r="Z48" s="40"/>
      <c r="AA48" s="40"/>
      <c r="AB48" s="39" t="s">
        <v>487</v>
      </c>
      <c r="AD48" s="40"/>
      <c r="AE48" s="40"/>
      <c r="AF48" s="40"/>
      <c r="AG48" s="40"/>
      <c r="AH48" s="40"/>
      <c r="AI48" s="40"/>
    </row>
    <row r="49" spans="1:35">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row>
    <row r="50" spans="1:35">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row>
    <row r="51" spans="1:35">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row>
    <row r="52" spans="1:35">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row>
    <row r="53" spans="1:35">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row>
    <row r="54" spans="1:35">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row>
    <row r="55" spans="1:35">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row>
    <row r="56" spans="1:35">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row>
    <row r="57" spans="1:35">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row>
    <row r="58" spans="1:35">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row>
    <row r="59" spans="1:35">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row>
    <row r="60" spans="1:35">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row>
    <row r="61" spans="1:35">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row>
    <row r="62" spans="1:35">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row>
    <row r="63" spans="1:35">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row>
    <row r="64" spans="1:35">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row>
    <row r="65" spans="1:35">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row>
    <row r="66" spans="1:35">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row>
    <row r="67" spans="1:35">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row>
    <row r="68" spans="1:35">
      <c r="A68" s="41" t="s">
        <v>488</v>
      </c>
      <c r="B68" s="41"/>
      <c r="C68" s="41"/>
      <c r="D68" s="41"/>
      <c r="E68" s="41"/>
      <c r="F68" s="41"/>
      <c r="G68" s="41"/>
      <c r="H68" s="41"/>
      <c r="I68" s="41"/>
      <c r="J68" s="41" t="s">
        <v>489</v>
      </c>
      <c r="K68" s="41"/>
      <c r="L68" s="41"/>
      <c r="M68" s="41"/>
      <c r="N68" s="41"/>
      <c r="O68" s="41"/>
      <c r="P68" s="41"/>
      <c r="Q68" s="41"/>
      <c r="R68" s="41"/>
      <c r="S68" s="41" t="s">
        <v>490</v>
      </c>
      <c r="T68" s="41"/>
      <c r="U68" s="41"/>
      <c r="V68" s="41"/>
      <c r="W68" s="41"/>
      <c r="X68" s="41"/>
      <c r="Y68" s="41"/>
      <c r="Z68" s="41"/>
      <c r="AA68" s="41"/>
      <c r="AB68" s="41" t="s">
        <v>491</v>
      </c>
      <c r="AC68" s="41"/>
      <c r="AD68" s="41"/>
      <c r="AE68" s="41"/>
      <c r="AF68" s="41"/>
      <c r="AG68" s="41"/>
      <c r="AH68" s="41"/>
      <c r="AI68" s="41"/>
    </row>
    <row r="69" spans="1:35" s="12" customFormat="1" ht="11.25">
      <c r="A69" s="39" t="s">
        <v>492</v>
      </c>
      <c r="B69" s="40"/>
      <c r="C69" s="40"/>
      <c r="D69" s="40"/>
      <c r="E69" s="40"/>
      <c r="F69" s="40"/>
      <c r="G69" s="40"/>
      <c r="H69" s="40"/>
      <c r="I69" s="40"/>
      <c r="J69" s="39" t="s">
        <v>493</v>
      </c>
      <c r="K69" s="40"/>
      <c r="L69" s="40"/>
      <c r="M69" s="40"/>
      <c r="N69" s="40"/>
      <c r="O69" s="40"/>
      <c r="P69" s="40"/>
      <c r="Q69" s="40"/>
      <c r="R69" s="40"/>
      <c r="S69" s="39" t="s">
        <v>494</v>
      </c>
      <c r="T69" s="40"/>
      <c r="U69" s="40"/>
      <c r="V69" s="40"/>
      <c r="W69" s="40"/>
      <c r="X69" s="40"/>
      <c r="Y69" s="40"/>
      <c r="Z69" s="40"/>
      <c r="AA69" s="40"/>
      <c r="AB69" s="39" t="s">
        <v>495</v>
      </c>
      <c r="AC69" s="40"/>
      <c r="AD69" s="40"/>
      <c r="AE69" s="40"/>
      <c r="AF69" s="40"/>
      <c r="AG69" s="40"/>
      <c r="AH69" s="40"/>
      <c r="AI69" s="40"/>
    </row>
    <row r="70" spans="1:35">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row>
    <row r="71" spans="1:35">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row>
    <row r="72" spans="1:35">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row>
    <row r="73" spans="1:35">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row>
    <row r="74" spans="1:35">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row>
    <row r="75" spans="1:35">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row>
    <row r="76" spans="1:35">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row>
    <row r="77" spans="1:35">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row>
    <row r="78" spans="1:35">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row>
    <row r="79" spans="1:35">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row>
    <row r="80" spans="1:35">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row>
    <row r="81" spans="1:35">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row>
    <row r="82" spans="1:35">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row>
    <row r="83" spans="1:35">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row>
    <row r="84" spans="1:35">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row>
    <row r="85" spans="1:35">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row>
    <row r="86" spans="1:35">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row>
    <row r="87" spans="1:35">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row>
    <row r="88" spans="1:35">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row>
    <row r="89" spans="1:35">
      <c r="A89" s="41" t="s">
        <v>496</v>
      </c>
      <c r="B89" s="41"/>
      <c r="C89" s="41"/>
      <c r="D89" s="41"/>
      <c r="E89" s="41"/>
      <c r="F89" s="41"/>
      <c r="G89" s="41"/>
      <c r="H89" s="41"/>
      <c r="I89" s="41"/>
      <c r="J89" s="41" t="s">
        <v>497</v>
      </c>
      <c r="K89" s="41"/>
      <c r="L89" s="41"/>
      <c r="M89" s="41"/>
      <c r="N89" s="41"/>
      <c r="O89" s="41"/>
      <c r="P89" s="41"/>
      <c r="Q89" s="41"/>
      <c r="R89" s="41"/>
      <c r="S89" s="41" t="s">
        <v>498</v>
      </c>
      <c r="T89" s="41"/>
      <c r="U89" s="41"/>
      <c r="V89" s="41"/>
      <c r="W89" s="41"/>
      <c r="X89" s="41"/>
      <c r="Y89" s="41"/>
      <c r="Z89" s="41"/>
      <c r="AA89" s="41"/>
      <c r="AB89" s="41" t="s">
        <v>499</v>
      </c>
      <c r="AC89" s="41"/>
      <c r="AD89" s="41"/>
      <c r="AE89" s="41"/>
      <c r="AF89" s="41"/>
      <c r="AG89" s="41"/>
      <c r="AH89" s="41"/>
      <c r="AI89" s="41"/>
    </row>
    <row r="90" spans="1:35" s="12" customFormat="1" ht="11.25">
      <c r="A90" s="39" t="s">
        <v>500</v>
      </c>
      <c r="B90" s="40"/>
      <c r="C90" s="40"/>
      <c r="D90" s="40"/>
      <c r="E90" s="40"/>
      <c r="F90" s="40"/>
      <c r="G90" s="40"/>
      <c r="H90" s="40"/>
      <c r="I90" s="40"/>
      <c r="J90" s="39" t="s">
        <v>501</v>
      </c>
      <c r="K90" s="40"/>
      <c r="L90" s="40"/>
      <c r="M90" s="40"/>
      <c r="N90" s="40"/>
      <c r="O90" s="40"/>
      <c r="P90" s="40"/>
      <c r="Q90" s="40"/>
      <c r="R90" s="40"/>
      <c r="S90" s="39" t="s">
        <v>502</v>
      </c>
      <c r="T90" s="40"/>
      <c r="U90" s="40"/>
      <c r="V90" s="40"/>
      <c r="W90" s="40"/>
      <c r="X90" s="40"/>
      <c r="Y90" s="40"/>
      <c r="Z90" s="40"/>
      <c r="AA90" s="40"/>
      <c r="AB90" s="39" t="s">
        <v>503</v>
      </c>
      <c r="AC90" s="40"/>
      <c r="AD90" s="40"/>
      <c r="AE90" s="40"/>
      <c r="AF90" s="40"/>
      <c r="AG90" s="40"/>
      <c r="AH90" s="40"/>
      <c r="AI90" s="40"/>
    </row>
    <row r="91" spans="1:35">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row>
    <row r="92" spans="1:35">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row>
    <row r="93" spans="1:35">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row>
    <row r="94" spans="1:35">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row>
    <row r="95" spans="1:35">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row>
    <row r="96" spans="1:35">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row>
    <row r="97" spans="1:35">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row>
    <row r="98" spans="1:35">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row>
    <row r="99" spans="1:35">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row>
    <row r="100" spans="1:35">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row>
    <row r="101" spans="1:35">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row>
    <row r="102" spans="1:35">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row>
    <row r="103" spans="1:35">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row>
    <row r="104" spans="1:35">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row>
    <row r="105" spans="1:35">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row>
    <row r="106" spans="1:35">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row>
    <row r="107" spans="1:35">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row>
    <row r="108" spans="1:35">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row>
    <row r="109" spans="1:35">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row>
    <row r="110" spans="1:35">
      <c r="A110" s="41" t="s">
        <v>504</v>
      </c>
      <c r="B110" s="41"/>
      <c r="C110" s="41"/>
      <c r="D110" s="41"/>
      <c r="E110" s="41"/>
      <c r="F110" s="41"/>
      <c r="G110" s="41"/>
      <c r="H110" s="41"/>
      <c r="I110" s="41"/>
      <c r="J110" s="41" t="s">
        <v>505</v>
      </c>
      <c r="K110" s="41"/>
      <c r="L110" s="41"/>
      <c r="M110" s="41"/>
      <c r="N110" s="41"/>
      <c r="O110" s="41"/>
      <c r="P110" s="41"/>
      <c r="Q110" s="41"/>
      <c r="R110" s="41"/>
      <c r="S110" s="41" t="s">
        <v>506</v>
      </c>
      <c r="T110" s="41"/>
      <c r="U110" s="41"/>
      <c r="V110" s="41"/>
      <c r="W110" s="41"/>
      <c r="X110" s="41"/>
      <c r="Y110" s="41"/>
      <c r="Z110" s="41"/>
      <c r="AA110" s="41"/>
      <c r="AB110" s="41" t="s">
        <v>507</v>
      </c>
      <c r="AC110" s="41"/>
      <c r="AD110" s="41"/>
      <c r="AE110" s="41"/>
      <c r="AF110" s="41"/>
      <c r="AG110" s="41"/>
      <c r="AH110" s="41"/>
      <c r="AI110" s="41"/>
    </row>
    <row r="111" spans="1:35" s="12" customFormat="1" ht="11.25">
      <c r="A111" s="39" t="s">
        <v>508</v>
      </c>
      <c r="B111" s="40"/>
      <c r="C111" s="40"/>
      <c r="D111" s="40"/>
      <c r="E111" s="40"/>
      <c r="F111" s="40"/>
      <c r="G111" s="40"/>
      <c r="H111" s="40"/>
      <c r="I111" s="40"/>
      <c r="J111" s="39" t="s">
        <v>509</v>
      </c>
      <c r="K111" s="40"/>
      <c r="L111" s="40"/>
      <c r="M111" s="40"/>
      <c r="N111" s="40"/>
      <c r="O111" s="40"/>
      <c r="P111" s="40"/>
      <c r="Q111" s="40"/>
      <c r="R111" s="40"/>
      <c r="S111" s="39" t="s">
        <v>510</v>
      </c>
      <c r="T111" s="40"/>
      <c r="U111" s="40"/>
      <c r="V111" s="40"/>
      <c r="W111" s="40"/>
      <c r="X111" s="40"/>
      <c r="Y111" s="40"/>
      <c r="Z111" s="40"/>
      <c r="AA111" s="40"/>
      <c r="AB111" s="39" t="s">
        <v>511</v>
      </c>
      <c r="AC111" s="40"/>
      <c r="AD111" s="40"/>
      <c r="AE111" s="40"/>
      <c r="AF111" s="40"/>
      <c r="AG111" s="40"/>
      <c r="AH111" s="40"/>
      <c r="AI111" s="40"/>
    </row>
    <row r="112" spans="1:35">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row>
    <row r="113" spans="1:35">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row>
    <row r="114" spans="1:35">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row>
    <row r="115" spans="1:35">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row>
    <row r="116" spans="1:35">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row>
    <row r="117" spans="1:35">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row>
    <row r="118" spans="1:35">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row>
    <row r="119" spans="1:35">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row>
    <row r="120" spans="1:35">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row>
    <row r="121" spans="1:35">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row>
    <row r="122" spans="1:35">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row>
    <row r="123" spans="1:35">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row>
    <row r="124" spans="1:35">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row>
    <row r="125" spans="1:35">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row>
    <row r="126" spans="1:35">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row>
    <row r="127" spans="1:35">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row>
    <row r="128" spans="1:35">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row>
    <row r="129" spans="1:35">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row>
    <row r="130" spans="1:35">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row>
    <row r="131" spans="1:35">
      <c r="A131" s="41" t="s">
        <v>512</v>
      </c>
      <c r="B131" s="41"/>
      <c r="C131" s="41"/>
      <c r="D131" s="41"/>
      <c r="E131" s="41"/>
      <c r="F131" s="41"/>
      <c r="G131" s="41"/>
      <c r="H131" s="41"/>
      <c r="I131" s="41"/>
      <c r="J131" s="41" t="s">
        <v>513</v>
      </c>
      <c r="K131" s="41"/>
      <c r="L131" s="41"/>
      <c r="M131" s="41"/>
      <c r="N131" s="41"/>
      <c r="O131" s="41"/>
      <c r="P131" s="41"/>
      <c r="Q131" s="41"/>
      <c r="R131" s="41"/>
      <c r="S131" s="41" t="s">
        <v>514</v>
      </c>
      <c r="T131" s="41"/>
      <c r="U131" s="41"/>
      <c r="V131" s="41"/>
      <c r="W131" s="41"/>
      <c r="X131" s="41"/>
      <c r="Y131" s="41"/>
      <c r="Z131" s="41"/>
      <c r="AA131" s="41"/>
      <c r="AB131" s="41" t="s">
        <v>515</v>
      </c>
      <c r="AC131" s="41"/>
      <c r="AD131" s="41"/>
      <c r="AE131" s="41"/>
      <c r="AF131" s="41"/>
      <c r="AG131" s="41"/>
      <c r="AH131" s="41"/>
      <c r="AI131" s="41"/>
    </row>
    <row r="132" spans="1:35" s="12" customFormat="1" ht="11.25">
      <c r="A132" s="39" t="s">
        <v>516</v>
      </c>
      <c r="B132" s="40"/>
      <c r="C132" s="40"/>
      <c r="D132" s="40"/>
      <c r="E132" s="40"/>
      <c r="F132" s="40"/>
      <c r="G132" s="40"/>
      <c r="H132" s="40"/>
      <c r="I132" s="40"/>
      <c r="J132" s="39" t="s">
        <v>517</v>
      </c>
      <c r="K132" s="40"/>
      <c r="L132" s="40"/>
      <c r="M132" s="40"/>
      <c r="N132" s="40"/>
      <c r="O132" s="40"/>
      <c r="P132" s="40"/>
      <c r="Q132" s="40"/>
      <c r="R132" s="40"/>
      <c r="S132" s="39" t="s">
        <v>518</v>
      </c>
      <c r="T132" s="40"/>
      <c r="U132" s="40"/>
      <c r="V132" s="40"/>
      <c r="W132" s="40"/>
      <c r="X132" s="40"/>
      <c r="Y132" s="40"/>
      <c r="Z132" s="40"/>
      <c r="AA132" s="40"/>
      <c r="AB132" s="39" t="s">
        <v>519</v>
      </c>
      <c r="AC132" s="40"/>
      <c r="AD132" s="40"/>
      <c r="AE132" s="40"/>
      <c r="AF132" s="40"/>
      <c r="AG132" s="40"/>
      <c r="AH132" s="40"/>
      <c r="AI132" s="40"/>
    </row>
    <row r="133" spans="1:35">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row>
    <row r="134" spans="1:35">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row>
    <row r="135" spans="1:35">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row>
    <row r="136" spans="1:35">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row>
    <row r="137" spans="1:35">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row>
    <row r="138" spans="1:35">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row>
    <row r="139" spans="1:35">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row>
    <row r="140" spans="1:35">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row>
    <row r="141" spans="1:35">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row>
    <row r="142" spans="1:35">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row>
    <row r="143" spans="1:35">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row>
    <row r="144" spans="1:35">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row>
    <row r="145" spans="1:35">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row>
    <row r="146" spans="1:35">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row>
    <row r="147" spans="1:35">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row>
    <row r="148" spans="1:35">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row>
    <row r="149" spans="1:35">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row>
    <row r="150" spans="1:35">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row>
    <row r="151" spans="1:35">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row>
    <row r="152" spans="1:35">
      <c r="A152" s="41" t="s">
        <v>520</v>
      </c>
      <c r="B152" s="41"/>
      <c r="C152" s="41"/>
      <c r="D152" s="41"/>
      <c r="E152" s="41"/>
      <c r="F152" s="41"/>
      <c r="G152" s="41"/>
      <c r="H152" s="41"/>
      <c r="I152" s="41"/>
      <c r="J152" s="41" t="s">
        <v>521</v>
      </c>
      <c r="K152" s="41"/>
      <c r="L152" s="41"/>
      <c r="M152" s="41"/>
      <c r="N152" s="41"/>
      <c r="O152" s="41"/>
      <c r="P152" s="41"/>
      <c r="Q152" s="41"/>
      <c r="R152" s="41"/>
      <c r="S152" s="41" t="s">
        <v>522</v>
      </c>
      <c r="T152" s="41"/>
      <c r="U152" s="41"/>
      <c r="V152" s="41"/>
      <c r="W152" s="41"/>
      <c r="X152" s="41"/>
      <c r="Y152" s="41"/>
      <c r="Z152" s="41"/>
      <c r="AA152" s="41"/>
      <c r="AB152" s="41" t="s">
        <v>523</v>
      </c>
      <c r="AC152" s="41"/>
      <c r="AD152" s="41"/>
      <c r="AE152" s="41"/>
      <c r="AF152" s="41"/>
      <c r="AG152" s="41"/>
      <c r="AH152" s="41"/>
      <c r="AI152" s="41"/>
    </row>
    <row r="153" spans="1:35" s="12" customFormat="1" ht="11.25">
      <c r="A153" s="39" t="s">
        <v>524</v>
      </c>
      <c r="B153" s="40"/>
      <c r="C153" s="40"/>
      <c r="D153" s="40"/>
      <c r="E153" s="40"/>
      <c r="F153" s="40"/>
      <c r="G153" s="40"/>
      <c r="H153" s="40"/>
      <c r="I153" s="40"/>
      <c r="J153" s="39" t="s">
        <v>525</v>
      </c>
      <c r="K153" s="40"/>
      <c r="L153" s="40"/>
      <c r="M153" s="40"/>
      <c r="N153" s="40"/>
      <c r="O153" s="40"/>
      <c r="P153" s="40"/>
      <c r="Q153" s="40"/>
      <c r="R153" s="40"/>
      <c r="S153" s="39" t="s">
        <v>526</v>
      </c>
      <c r="T153" s="40"/>
      <c r="U153" s="40"/>
      <c r="V153" s="40"/>
      <c r="W153" s="40"/>
      <c r="X153" s="40"/>
      <c r="Y153" s="40"/>
      <c r="Z153" s="40"/>
      <c r="AA153" s="40"/>
      <c r="AB153" s="39" t="s">
        <v>527</v>
      </c>
      <c r="AC153" s="40"/>
      <c r="AD153" s="40"/>
      <c r="AE153" s="40"/>
      <c r="AF153" s="40"/>
      <c r="AG153" s="40"/>
      <c r="AH153" s="40"/>
      <c r="AI153" s="40"/>
    </row>
    <row r="154" spans="1:35">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row>
    <row r="155" spans="1:35">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row>
    <row r="156" spans="1:35">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row>
    <row r="157" spans="1:35">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row>
    <row r="158" spans="1:35">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row>
    <row r="159" spans="1:35">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row>
    <row r="160" spans="1:35">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row>
    <row r="161" spans="1:35">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row>
    <row r="162" spans="1:35">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row>
    <row r="163" spans="1:35">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row>
    <row r="164" spans="1:35">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row>
    <row r="165" spans="1:35">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row>
    <row r="166" spans="1:35">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row>
    <row r="167" spans="1:35">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row>
    <row r="168" spans="1:35">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row>
    <row r="169" spans="1:35">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row>
    <row r="170" spans="1:35">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row>
    <row r="171" spans="1:35">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c r="AA171" s="42"/>
      <c r="AB171" s="42"/>
      <c r="AC171" s="42"/>
      <c r="AD171" s="42"/>
      <c r="AE171" s="42"/>
      <c r="AF171" s="42"/>
      <c r="AG171" s="42"/>
      <c r="AH171" s="42"/>
      <c r="AI171" s="42"/>
    </row>
    <row r="172" spans="1:35">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row>
    <row r="173" spans="1:35">
      <c r="A173" s="41" t="s">
        <v>528</v>
      </c>
      <c r="B173" s="42"/>
      <c r="C173" s="42"/>
      <c r="D173" s="42"/>
      <c r="E173" s="42"/>
      <c r="F173" s="42"/>
      <c r="G173" s="42"/>
      <c r="H173" s="42"/>
      <c r="I173" s="42"/>
      <c r="J173" s="41" t="s">
        <v>529</v>
      </c>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row>
    <row r="174" spans="1:35" s="12" customFormat="1" ht="11.25">
      <c r="A174" s="39" t="s">
        <v>530</v>
      </c>
      <c r="B174" s="44"/>
      <c r="C174" s="44"/>
      <c r="D174" s="44"/>
      <c r="E174" s="44"/>
      <c r="F174" s="44"/>
      <c r="G174" s="44"/>
      <c r="H174" s="44"/>
      <c r="I174" s="44"/>
      <c r="J174" s="39" t="s">
        <v>531</v>
      </c>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row>
    <row r="175" spans="1:35">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row>
    <row r="176" spans="1:35">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row>
    <row r="177" spans="1:35">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row>
    <row r="178" spans="1:35">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row>
    <row r="179" spans="1:35">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row>
    <row r="180" spans="1:35">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row>
    <row r="181" spans="1:35">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row>
    <row r="182" spans="1:35">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row>
    <row r="183" spans="1:35">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row>
    <row r="184" spans="1:35">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row>
    <row r="185" spans="1:35">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row>
    <row r="186" spans="1:35">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row>
    <row r="187" spans="1:35">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row>
    <row r="188" spans="1:35">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row>
    <row r="189" spans="1:35">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row>
    <row r="190" spans="1:35">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row>
    <row r="191" spans="1:35">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row>
    <row r="192" spans="1:35">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row>
  </sheetData>
  <sheetProtection password="C6DE" sheet="1" objects="1" scenarios="1"/>
  <mergeCells count="2">
    <mergeCell ref="M1:N1"/>
    <mergeCell ref="AD3:AI3"/>
  </mergeCells>
  <hyperlinks>
    <hyperlink ref="M1:N1" location="'Index '!A1" display="Back to Index"/>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1"/>
  <sheetViews>
    <sheetView showGridLines="0" workbookViewId="0">
      <selection activeCell="N1" sqref="N1:O1"/>
    </sheetView>
  </sheetViews>
  <sheetFormatPr defaultColWidth="8.875" defaultRowHeight="15"/>
  <cols>
    <col min="1" max="16384" width="8.875" style="2"/>
  </cols>
  <sheetData>
    <row r="1" spans="1:15" ht="18.75">
      <c r="A1" s="8" t="s">
        <v>532</v>
      </c>
      <c r="N1" s="1244" t="s">
        <v>359</v>
      </c>
      <c r="O1" s="1244"/>
    </row>
    <row r="2" spans="1:15" ht="15.75">
      <c r="A2" s="15" t="s">
        <v>533</v>
      </c>
      <c r="B2" s="15"/>
      <c r="C2" s="15"/>
      <c r="D2" s="15"/>
      <c r="E2" s="15"/>
      <c r="F2" s="15"/>
      <c r="G2" s="15"/>
      <c r="H2" s="15"/>
      <c r="I2" s="15"/>
      <c r="J2" s="15"/>
      <c r="K2" s="15"/>
      <c r="L2" s="15"/>
      <c r="M2" s="15"/>
      <c r="N2" s="15"/>
      <c r="O2" s="15"/>
    </row>
    <row r="3" spans="1:15" ht="15.75">
      <c r="A3" s="15"/>
      <c r="B3" s="15"/>
      <c r="C3" s="15"/>
      <c r="D3" s="15"/>
      <c r="E3" s="15"/>
      <c r="F3" s="15"/>
      <c r="G3" s="15"/>
      <c r="H3" s="15"/>
      <c r="I3" s="15"/>
      <c r="J3" s="1272" t="s">
        <v>394</v>
      </c>
      <c r="K3" s="1272"/>
      <c r="L3" s="1272"/>
      <c r="M3" s="1272"/>
      <c r="N3" s="1272"/>
      <c r="O3" s="1272"/>
    </row>
    <row r="5" spans="1:15">
      <c r="A5" s="2" t="s">
        <v>534</v>
      </c>
      <c r="I5" s="2" t="s">
        <v>535</v>
      </c>
    </row>
    <row r="28" spans="1:9">
      <c r="A28" s="2" t="s">
        <v>536</v>
      </c>
      <c r="I28" s="2" t="s">
        <v>537</v>
      </c>
    </row>
    <row r="51" spans="1:9">
      <c r="A51" s="2" t="s">
        <v>538</v>
      </c>
      <c r="I51" s="2" t="s">
        <v>539</v>
      </c>
    </row>
    <row r="74" spans="1:9">
      <c r="A74" s="2" t="s">
        <v>540</v>
      </c>
      <c r="I74" s="2" t="s">
        <v>541</v>
      </c>
    </row>
    <row r="97" spans="1:9">
      <c r="A97" s="2" t="s">
        <v>542</v>
      </c>
      <c r="I97" s="2" t="s">
        <v>543</v>
      </c>
    </row>
    <row r="120" spans="1:9">
      <c r="A120" s="2" t="s">
        <v>544</v>
      </c>
      <c r="I120" s="2" t="s">
        <v>545</v>
      </c>
    </row>
    <row r="143" spans="1:9">
      <c r="A143" s="2" t="s">
        <v>546</v>
      </c>
      <c r="I143" s="2" t="s">
        <v>547</v>
      </c>
    </row>
    <row r="166" spans="1:9">
      <c r="A166" s="2" t="s">
        <v>548</v>
      </c>
      <c r="I166" s="2" t="s">
        <v>549</v>
      </c>
    </row>
    <row r="189" spans="1:1">
      <c r="A189" s="2" t="s">
        <v>550</v>
      </c>
    </row>
    <row r="211" spans="14:14" ht="15.75">
      <c r="N211" s="286" t="s">
        <v>642</v>
      </c>
    </row>
  </sheetData>
  <sheetProtection password="C6DE" sheet="1" objects="1" scenarios="1"/>
  <mergeCells count="2">
    <mergeCell ref="N1:O1"/>
    <mergeCell ref="J3:O3"/>
  </mergeCells>
  <hyperlinks>
    <hyperlink ref="N1:O1" location="'Index '!A1" display="Back to Index"/>
    <hyperlink ref="N211" location="'Pyramid 3.4'!N1" display="Back to top"/>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zoomScale="102" zoomScaleNormal="102" workbookViewId="0">
      <selection activeCell="A13" sqref="A13"/>
    </sheetView>
  </sheetViews>
  <sheetFormatPr defaultColWidth="8.875" defaultRowHeight="15"/>
  <cols>
    <col min="1" max="1" width="137" style="2" customWidth="1"/>
    <col min="2" max="16384" width="8.875" style="2"/>
  </cols>
  <sheetData>
    <row r="1" spans="1:3" ht="29.25" customHeight="1">
      <c r="A1" s="45" t="s">
        <v>551</v>
      </c>
    </row>
    <row r="2" spans="1:3" ht="15.75">
      <c r="A2" s="51" t="s">
        <v>359</v>
      </c>
      <c r="B2" s="51"/>
    </row>
    <row r="3" spans="1:3" ht="30">
      <c r="A3" s="1189" t="s">
        <v>890</v>
      </c>
    </row>
    <row r="4" spans="1:3">
      <c r="A4" s="13" t="s">
        <v>854</v>
      </c>
    </row>
    <row r="5" spans="1:3" ht="30">
      <c r="A5" s="1189" t="s">
        <v>891</v>
      </c>
    </row>
    <row r="6" spans="1:3" ht="30">
      <c r="A6" s="6" t="s">
        <v>855</v>
      </c>
    </row>
    <row r="7" spans="1:3">
      <c r="A7" s="6" t="s">
        <v>552</v>
      </c>
    </row>
    <row r="8" spans="1:3">
      <c r="A8" s="1189" t="s">
        <v>892</v>
      </c>
    </row>
    <row r="9" spans="1:3">
      <c r="A9" s="1189" t="s">
        <v>893</v>
      </c>
    </row>
    <row r="10" spans="1:3" ht="30">
      <c r="A10" s="1189" t="s">
        <v>894</v>
      </c>
    </row>
    <row r="12" spans="1:3" ht="30">
      <c r="A12" s="6" t="s">
        <v>553</v>
      </c>
    </row>
    <row r="14" spans="1:3" ht="15.75">
      <c r="B14" s="52"/>
      <c r="C14" s="52"/>
    </row>
  </sheetData>
  <sheetProtection password="C6DE" sheet="1" objects="1" scenarios="1"/>
  <hyperlinks>
    <hyperlink ref="A2:B2" location="'Index '!A1" display="Back to Index"/>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zoomScale="120" zoomScaleNormal="120" workbookViewId="0">
      <selection activeCell="A20" sqref="A20"/>
    </sheetView>
  </sheetViews>
  <sheetFormatPr defaultColWidth="8.875" defaultRowHeight="15"/>
  <cols>
    <col min="1" max="1" width="137" style="2" customWidth="1"/>
    <col min="2" max="16384" width="8.875" style="2"/>
  </cols>
  <sheetData>
    <row r="1" spans="1:2" ht="29.25" customHeight="1">
      <c r="A1" s="45" t="s">
        <v>554</v>
      </c>
    </row>
    <row r="2" spans="1:2" ht="15.75">
      <c r="A2" s="51" t="s">
        <v>359</v>
      </c>
      <c r="B2" s="51"/>
    </row>
    <row r="3" spans="1:2">
      <c r="A3" s="2" t="s">
        <v>555</v>
      </c>
    </row>
    <row r="4" spans="1:2" ht="30">
      <c r="A4" s="6" t="s">
        <v>856</v>
      </c>
    </row>
    <row r="5" spans="1:2">
      <c r="A5" s="2" t="s">
        <v>556</v>
      </c>
    </row>
    <row r="6" spans="1:2">
      <c r="A6" s="2" t="s">
        <v>557</v>
      </c>
    </row>
    <row r="8" spans="1:2">
      <c r="A8" s="2" t="s">
        <v>558</v>
      </c>
    </row>
    <row r="9" spans="1:2">
      <c r="A9" s="1190" t="s">
        <v>895</v>
      </c>
    </row>
    <row r="10" spans="1:2" ht="30">
      <c r="A10" s="1189" t="s">
        <v>896</v>
      </c>
    </row>
    <row r="11" spans="1:2">
      <c r="A11" s="46" t="s">
        <v>559</v>
      </c>
    </row>
    <row r="12" spans="1:2">
      <c r="A12" s="1190" t="s">
        <v>897</v>
      </c>
    </row>
    <row r="14" spans="1:2" ht="45">
      <c r="A14" s="1189" t="s">
        <v>898</v>
      </c>
    </row>
    <row r="16" spans="1:2" ht="45">
      <c r="A16" s="1189" t="s">
        <v>899</v>
      </c>
    </row>
  </sheetData>
  <sheetProtection password="C6DE" sheet="1" objects="1" scenarios="1"/>
  <hyperlinks>
    <hyperlink ref="A2:B2" location="'Index '!A1" display="Back to Index"/>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showGridLines="0" zoomScale="120" zoomScaleNormal="120" workbookViewId="0">
      <selection activeCell="A2" sqref="A2"/>
    </sheetView>
  </sheetViews>
  <sheetFormatPr defaultColWidth="8.875" defaultRowHeight="15"/>
  <cols>
    <col min="1" max="1" width="136.5" style="2" customWidth="1"/>
    <col min="2" max="16384" width="8.875" style="2"/>
  </cols>
  <sheetData>
    <row r="1" spans="1:2" ht="29.25" customHeight="1">
      <c r="A1" s="45" t="s">
        <v>560</v>
      </c>
    </row>
    <row r="2" spans="1:2" ht="15.75">
      <c r="A2" s="51" t="s">
        <v>359</v>
      </c>
      <c r="B2" s="51"/>
    </row>
    <row r="3" spans="1:2" ht="60">
      <c r="A3" s="1198" t="s">
        <v>923</v>
      </c>
    </row>
    <row r="5" spans="1:2">
      <c r="A5" s="10" t="s">
        <v>561</v>
      </c>
    </row>
    <row r="6" spans="1:2" ht="60">
      <c r="A6" s="1189" t="s">
        <v>900</v>
      </c>
    </row>
    <row r="7" spans="1:2">
      <c r="A7" s="1189"/>
    </row>
    <row r="8" spans="1:2" ht="30">
      <c r="A8" s="1191" t="s">
        <v>901</v>
      </c>
    </row>
    <row r="10" spans="1:2">
      <c r="A10" s="10" t="s">
        <v>902</v>
      </c>
    </row>
    <row r="11" spans="1:2" ht="75">
      <c r="A11" s="1189" t="s">
        <v>903</v>
      </c>
    </row>
    <row r="13" spans="1:2" ht="75" customHeight="1">
      <c r="A13" s="1189" t="s">
        <v>904</v>
      </c>
    </row>
    <row r="14" spans="1:2" ht="14.25" customHeight="1">
      <c r="A14" s="6"/>
    </row>
    <row r="15" spans="1:2">
      <c r="A15" s="47" t="s">
        <v>562</v>
      </c>
    </row>
    <row r="16" spans="1:2" ht="45">
      <c r="A16" s="6" t="s">
        <v>563</v>
      </c>
    </row>
    <row r="17" spans="1:1">
      <c r="A17" s="6"/>
    </row>
    <row r="18" spans="1:1">
      <c r="A18" s="10" t="s">
        <v>905</v>
      </c>
    </row>
    <row r="19" spans="1:1" ht="65.25" customHeight="1">
      <c r="A19" s="1192" t="s">
        <v>564</v>
      </c>
    </row>
    <row r="21" spans="1:1">
      <c r="A21" s="48" t="s">
        <v>565</v>
      </c>
    </row>
    <row r="22" spans="1:1">
      <c r="A22" s="49"/>
    </row>
    <row r="23" spans="1:1">
      <c r="A23" s="4" t="s">
        <v>566</v>
      </c>
    </row>
    <row r="24" spans="1:1" ht="5.25" hidden="1" customHeight="1"/>
    <row r="25" spans="1:1" ht="15.75" customHeight="1"/>
    <row r="26" spans="1:1" ht="15" customHeight="1">
      <c r="A26" s="10" t="s">
        <v>567</v>
      </c>
    </row>
    <row r="27" spans="1:1" ht="27.75" customHeight="1">
      <c r="A27" s="48" t="s">
        <v>568</v>
      </c>
    </row>
    <row r="29" spans="1:1" ht="60">
      <c r="A29" s="48" t="s">
        <v>569</v>
      </c>
    </row>
    <row r="30" spans="1:1">
      <c r="A30" s="49"/>
    </row>
    <row r="31" spans="1:1">
      <c r="A31" s="4" t="s">
        <v>570</v>
      </c>
    </row>
    <row r="32" spans="1:1">
      <c r="A32" s="49"/>
    </row>
    <row r="33" spans="1:1">
      <c r="A33" s="10" t="s">
        <v>571</v>
      </c>
    </row>
    <row r="34" spans="1:1" ht="47.25">
      <c r="A34" s="1189" t="s">
        <v>906</v>
      </c>
    </row>
    <row r="35" spans="1:1">
      <c r="A35" s="1189"/>
    </row>
    <row r="36" spans="1:1">
      <c r="A36" s="48" t="s">
        <v>572</v>
      </c>
    </row>
    <row r="38" spans="1:1" ht="60">
      <c r="A38" s="48" t="s">
        <v>573</v>
      </c>
    </row>
    <row r="40" spans="1:1">
      <c r="A40" s="4" t="s">
        <v>574</v>
      </c>
    </row>
    <row r="41" spans="1:1">
      <c r="A41" s="4"/>
    </row>
    <row r="42" spans="1:1">
      <c r="A42" s="10" t="s">
        <v>575</v>
      </c>
    </row>
    <row r="43" spans="1:1">
      <c r="A43" s="50" t="s">
        <v>576</v>
      </c>
    </row>
    <row r="45" spans="1:1" ht="60">
      <c r="A45" s="48" t="s">
        <v>577</v>
      </c>
    </row>
    <row r="47" spans="1:1">
      <c r="A47" s="4" t="s">
        <v>578</v>
      </c>
    </row>
    <row r="49" spans="1:1" ht="45">
      <c r="A49" s="6" t="s">
        <v>579</v>
      </c>
    </row>
    <row r="51" spans="1:1" ht="15.75">
      <c r="A51" s="315" t="s">
        <v>642</v>
      </c>
    </row>
  </sheetData>
  <sheetProtection password="C6DE" sheet="1" objects="1" scenarios="1"/>
  <hyperlinks>
    <hyperlink ref="A31" r:id="rId1" display="http://www.abs.gov.au/ausstats/abs@.nsf/mf/1267.0"/>
    <hyperlink ref="A40" r:id="rId2" display="http://www.abs.gov.au/ausstats/abs@.nsf/mf/1266.0"/>
    <hyperlink ref="A23" r:id="rId3" display="http://www.abs.gov.au/ausstats/abs@.nsf/mf/1269.0"/>
    <hyperlink ref="A47" r:id="rId4" display="http://www.abs.gov.au/ausstats/abs@.nsf/mf/1249.0"/>
    <hyperlink ref="A2:B2" location="'Index '!A1" display="Back to Index"/>
    <hyperlink ref="A51" location="'Appendix C'!A1" display="Back to top"/>
  </hyperlinks>
  <pageMargins left="0.7" right="0.7" top="0.75" bottom="0.75" header="0.3" footer="0.3"/>
  <pageSetup paperSize="9" orientation="portrait"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zoomScale="110" zoomScaleNormal="110" workbookViewId="0">
      <selection activeCell="A2" sqref="A2:B2"/>
    </sheetView>
  </sheetViews>
  <sheetFormatPr defaultColWidth="8.875" defaultRowHeight="15"/>
  <cols>
    <col min="1" max="1" width="12.125" style="2" customWidth="1"/>
    <col min="2" max="2" width="137.375" style="2" customWidth="1"/>
    <col min="3" max="16384" width="8.875" style="2"/>
  </cols>
  <sheetData>
    <row r="1" spans="1:2" ht="29.25" customHeight="1">
      <c r="A1" s="1273" t="s">
        <v>580</v>
      </c>
      <c r="B1" s="1273"/>
    </row>
    <row r="2" spans="1:2" ht="15.75">
      <c r="A2" s="1244" t="s">
        <v>359</v>
      </c>
      <c r="B2" s="1244"/>
    </row>
    <row r="3" spans="1:2">
      <c r="A3" s="2" t="s">
        <v>581</v>
      </c>
      <c r="B3" s="2" t="s">
        <v>582</v>
      </c>
    </row>
    <row r="4" spans="1:2">
      <c r="A4" s="2" t="s">
        <v>583</v>
      </c>
      <c r="B4" s="2" t="s">
        <v>584</v>
      </c>
    </row>
    <row r="5" spans="1:2">
      <c r="A5" s="2" t="s">
        <v>585</v>
      </c>
      <c r="B5" s="2" t="s">
        <v>586</v>
      </c>
    </row>
    <row r="6" spans="1:2">
      <c r="A6" s="2" t="s">
        <v>587</v>
      </c>
      <c r="B6" s="2" t="s">
        <v>588</v>
      </c>
    </row>
    <row r="7" spans="1:2">
      <c r="A7" s="2" t="s">
        <v>439</v>
      </c>
      <c r="B7" s="2" t="s">
        <v>589</v>
      </c>
    </row>
    <row r="8" spans="1:2">
      <c r="A8" s="2" t="s">
        <v>590</v>
      </c>
      <c r="B8" s="2" t="s">
        <v>591</v>
      </c>
    </row>
    <row r="9" spans="1:2">
      <c r="A9" s="2" t="s">
        <v>592</v>
      </c>
      <c r="B9" s="2" t="s">
        <v>593</v>
      </c>
    </row>
    <row r="10" spans="1:2">
      <c r="A10" s="2" t="s">
        <v>594</v>
      </c>
      <c r="B10" s="2" t="s">
        <v>595</v>
      </c>
    </row>
    <row r="11" spans="1:2">
      <c r="A11" s="2" t="s">
        <v>596</v>
      </c>
      <c r="B11" s="2" t="s">
        <v>597</v>
      </c>
    </row>
    <row r="12" spans="1:2">
      <c r="A12" s="2" t="s">
        <v>598</v>
      </c>
      <c r="B12" s="2" t="s">
        <v>599</v>
      </c>
    </row>
    <row r="13" spans="1:2">
      <c r="A13" s="2" t="s">
        <v>600</v>
      </c>
      <c r="B13" s="2" t="s">
        <v>10</v>
      </c>
    </row>
    <row r="14" spans="1:2">
      <c r="A14" s="2" t="s">
        <v>601</v>
      </c>
      <c r="B14" s="2" t="s">
        <v>602</v>
      </c>
    </row>
    <row r="15" spans="1:2">
      <c r="A15" s="2" t="s">
        <v>603</v>
      </c>
      <c r="B15" s="2" t="s">
        <v>604</v>
      </c>
    </row>
    <row r="16" spans="1:2">
      <c r="A16" s="2" t="s">
        <v>605</v>
      </c>
      <c r="B16" s="2" t="s">
        <v>606</v>
      </c>
    </row>
    <row r="17" spans="1:2">
      <c r="A17" s="2" t="s">
        <v>607</v>
      </c>
      <c r="B17" s="2" t="s">
        <v>608</v>
      </c>
    </row>
  </sheetData>
  <sheetProtection password="C6DE" sheet="1" objects="1" scenarios="1"/>
  <mergeCells count="2">
    <mergeCell ref="A1:B1"/>
    <mergeCell ref="A2:B2"/>
  </mergeCells>
  <hyperlinks>
    <hyperlink ref="A2:B2" location="'Index '!A1" display="Back to Inde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2"/>
  <sheetViews>
    <sheetView showGridLines="0" workbookViewId="0">
      <selection activeCell="K47" sqref="K47"/>
    </sheetView>
  </sheetViews>
  <sheetFormatPr defaultColWidth="8.875" defaultRowHeight="14.25"/>
  <cols>
    <col min="1" max="1" width="6.5" style="327" customWidth="1"/>
    <col min="2" max="2" width="41" style="327" customWidth="1"/>
    <col min="3" max="10" width="10.875" style="327" customWidth="1"/>
    <col min="11" max="11" width="11.5" style="327" customWidth="1"/>
    <col min="12" max="16384" width="8.875" style="327"/>
  </cols>
  <sheetData>
    <row r="1" spans="1:11" ht="18">
      <c r="A1" s="331"/>
      <c r="J1" s="1229" t="s">
        <v>359</v>
      </c>
      <c r="K1" s="1229"/>
    </row>
    <row r="2" spans="1:11" s="334" customFormat="1" ht="30">
      <c r="A2" s="332"/>
      <c r="B2" s="119" t="s">
        <v>818</v>
      </c>
      <c r="C2" s="333"/>
      <c r="D2" s="333"/>
      <c r="E2" s="333"/>
      <c r="F2" s="333"/>
      <c r="G2" s="333"/>
      <c r="H2" s="333"/>
      <c r="I2" s="333"/>
      <c r="J2" s="333"/>
      <c r="K2" s="333"/>
    </row>
    <row r="12" spans="1:11" ht="23.25">
      <c r="B12" s="335" t="s">
        <v>633</v>
      </c>
    </row>
    <row r="14" spans="1:11" ht="25.5">
      <c r="A14" s="336"/>
      <c r="B14" s="337" t="s">
        <v>360</v>
      </c>
      <c r="C14" s="338" t="s">
        <v>242</v>
      </c>
      <c r="D14" s="338" t="s">
        <v>1</v>
      </c>
      <c r="E14" s="338" t="s">
        <v>7</v>
      </c>
      <c r="F14" s="338" t="s">
        <v>65</v>
      </c>
      <c r="G14" s="338" t="s">
        <v>8</v>
      </c>
      <c r="H14" s="336"/>
    </row>
    <row r="15" spans="1:11">
      <c r="B15" s="339" t="s">
        <v>9</v>
      </c>
      <c r="C15" s="340">
        <v>228838</v>
      </c>
      <c r="D15" s="341">
        <v>100</v>
      </c>
      <c r="E15" s="340">
        <v>211929</v>
      </c>
      <c r="F15" s="342">
        <f>Table6[[#This Row],[2016 Census]]-Table6[[#This Row],[2011 Census]]</f>
        <v>16909</v>
      </c>
      <c r="G15" s="343">
        <f>(Table6[[#This Row],[2016 Census]]-Table6[[#This Row],[2011 Census]])/Table6[[#This Row],[2011 Census]]</f>
        <v>7.9786154797125447E-2</v>
      </c>
    </row>
    <row r="16" spans="1:11">
      <c r="A16" s="344"/>
      <c r="B16" s="345" t="s">
        <v>2</v>
      </c>
      <c r="C16" s="346">
        <v>157531</v>
      </c>
      <c r="D16" s="347">
        <v>68.839528400003488</v>
      </c>
      <c r="E16" s="346">
        <v>158037</v>
      </c>
      <c r="F16" s="342">
        <f>Table6[[#This Row],[2016 Census]]-Table6[[#This Row],[2011 Census]]</f>
        <v>-506</v>
      </c>
      <c r="G16" s="343">
        <f>(Table6[[#This Row],[2016 Census]]-Table6[[#This Row],[2011 Census]])/Table6[[#This Row],[2011 Census]]</f>
        <v>-3.2017818612097167E-3</v>
      </c>
      <c r="H16" s="344"/>
    </row>
    <row r="17" spans="1:8">
      <c r="A17" s="344"/>
      <c r="B17" s="345" t="s">
        <v>362</v>
      </c>
      <c r="C17" s="346">
        <v>45407</v>
      </c>
      <c r="D17" s="347">
        <v>19.842421276186649</v>
      </c>
      <c r="E17" s="346">
        <v>35151</v>
      </c>
      <c r="F17" s="342">
        <f>Table6[[#This Row],[2016 Census]]-Table6[[#This Row],[2011 Census]]</f>
        <v>10256</v>
      </c>
      <c r="G17" s="343">
        <f>(Table6[[#This Row],[2016 Census]]-Table6[[#This Row],[2011 Census]])/Table6[[#This Row],[2011 Census]]</f>
        <v>0.29176979317800344</v>
      </c>
      <c r="H17" s="344"/>
    </row>
    <row r="18" spans="1:8">
      <c r="B18" s="345" t="s">
        <v>3</v>
      </c>
      <c r="C18" s="346">
        <v>25896</v>
      </c>
      <c r="D18" s="347">
        <v>11.316302362369886</v>
      </c>
      <c r="E18" s="346">
        <v>18747</v>
      </c>
      <c r="F18" s="342">
        <f>Table6[[#This Row],[2016 Census]]-Table6[[#This Row],[2011 Census]]</f>
        <v>7149</v>
      </c>
      <c r="G18" s="343">
        <f>(Table6[[#This Row],[2016 Census]]-Table6[[#This Row],[2011 Census]])/Table6[[#This Row],[2011 Census]]</f>
        <v>0.38134101456232999</v>
      </c>
    </row>
    <row r="19" spans="1:8">
      <c r="B19" s="345" t="s">
        <v>4</v>
      </c>
      <c r="C19" s="346">
        <v>14839</v>
      </c>
      <c r="D19" s="347">
        <v>6.4844999519310607</v>
      </c>
      <c r="E19" s="346">
        <v>13159</v>
      </c>
      <c r="F19" s="342">
        <f>Table6[[#This Row],[2016 Census]]-Table6[[#This Row],[2011 Census]]</f>
        <v>1680</v>
      </c>
      <c r="G19" s="343">
        <f>(Table6[[#This Row],[2016 Census]]-Table6[[#This Row],[2011 Census]])/Table6[[#This Row],[2011 Census]]</f>
        <v>0.12766927578083442</v>
      </c>
    </row>
    <row r="20" spans="1:8">
      <c r="A20" s="344"/>
      <c r="B20" s="345" t="s">
        <v>363</v>
      </c>
      <c r="C20" s="346">
        <v>30568</v>
      </c>
      <c r="D20" s="347">
        <v>13.357921324255587</v>
      </c>
      <c r="E20" s="346">
        <v>21992</v>
      </c>
      <c r="F20" s="342">
        <f>Table6[[#This Row],[2016 Census]]-Table6[[#This Row],[2011 Census]]</f>
        <v>8576</v>
      </c>
      <c r="G20" s="343">
        <f>(Table6[[#This Row],[2016 Census]]-Table6[[#This Row],[2011 Census]])/Table6[[#This Row],[2011 Census]]</f>
        <v>0.38995998544925425</v>
      </c>
      <c r="H20" s="344"/>
    </row>
    <row r="21" spans="1:8">
      <c r="B21" s="345" t="s">
        <v>364</v>
      </c>
      <c r="C21" s="346">
        <v>23449</v>
      </c>
      <c r="D21" s="347">
        <v>10.24698695146785</v>
      </c>
      <c r="E21" s="346">
        <v>18970</v>
      </c>
      <c r="F21" s="342">
        <f>Table6[[#This Row],[2016 Census]]-Table6[[#This Row],[2011 Census]]</f>
        <v>4479</v>
      </c>
      <c r="G21" s="343">
        <f>(Table6[[#This Row],[2016 Census]]-Table6[[#This Row],[2011 Census]])/Table6[[#This Row],[2011 Census]]</f>
        <v>0.23610964681075383</v>
      </c>
    </row>
    <row r="22" spans="1:8">
      <c r="B22" s="345" t="s">
        <v>365</v>
      </c>
      <c r="C22" s="346">
        <v>58248</v>
      </c>
      <c r="D22" s="347">
        <v>25.453814488852377</v>
      </c>
      <c r="E22" s="346">
        <v>56789</v>
      </c>
      <c r="F22" s="342">
        <f>Table6[[#This Row],[2016 Census]]-Table6[[#This Row],[2011 Census]]</f>
        <v>1459</v>
      </c>
      <c r="G22" s="343">
        <f>(Table6[[#This Row],[2016 Census]]-Table6[[#This Row],[2011 Census]])/Table6[[#This Row],[2011 Census]]</f>
        <v>2.5691595203296412E-2</v>
      </c>
    </row>
    <row r="23" spans="1:8">
      <c r="B23" s="339" t="s">
        <v>13</v>
      </c>
      <c r="C23" s="346">
        <v>67559</v>
      </c>
      <c r="D23" s="348">
        <v>29.52263173074402</v>
      </c>
      <c r="E23" s="340">
        <v>56709</v>
      </c>
      <c r="F23" s="342">
        <f>Table6[[#This Row],[2016 Census]]-Table6[[#This Row],[2011 Census]]</f>
        <v>10850</v>
      </c>
      <c r="G23" s="343">
        <f>(Table6[[#This Row],[2016 Census]]-Table6[[#This Row],[2011 Census]])/Table6[[#This Row],[2011 Census]]</f>
        <v>0.19132765522227513</v>
      </c>
    </row>
    <row r="24" spans="1:8">
      <c r="A24" s="344"/>
      <c r="B24" s="345" t="s">
        <v>869</v>
      </c>
      <c r="C24" s="346">
        <v>14330</v>
      </c>
      <c r="D24" s="348">
        <v>6.2620718586947968</v>
      </c>
      <c r="E24" s="346">
        <v>11043</v>
      </c>
      <c r="F24" s="342">
        <f>Table6[[#This Row],[2016 Census]]-Table6[[#This Row],[2011 Census]]</f>
        <v>3287</v>
      </c>
      <c r="G24" s="343">
        <f>(Table6[[#This Row],[2016 Census]]-Table6[[#This Row],[2011 Census]])/Table6[[#This Row],[2011 Census]]</f>
        <v>0.29765462283799693</v>
      </c>
      <c r="H24" s="344"/>
    </row>
    <row r="25" spans="1:8">
      <c r="A25" s="344"/>
      <c r="B25" s="345" t="s">
        <v>870</v>
      </c>
      <c r="C25" s="346">
        <v>10419</v>
      </c>
      <c r="D25" s="348">
        <v>4.5530025607635096</v>
      </c>
      <c r="E25" s="346">
        <v>7868</v>
      </c>
      <c r="F25" s="342">
        <f>Table6[[#This Row],[2016 Census]]-Table6[[#This Row],[2011 Census]]</f>
        <v>2551</v>
      </c>
      <c r="G25" s="343">
        <f>(Table6[[#This Row],[2016 Census]]-Table6[[#This Row],[2011 Census]])/Table6[[#This Row],[2011 Census]]</f>
        <v>0.32422470767666495</v>
      </c>
      <c r="H25" s="344"/>
    </row>
    <row r="26" spans="1:8">
      <c r="B26" s="349" t="s">
        <v>366</v>
      </c>
    </row>
    <row r="27" spans="1:8">
      <c r="B27" s="349"/>
    </row>
    <row r="28" spans="1:8" ht="23.25">
      <c r="B28" s="335" t="s">
        <v>367</v>
      </c>
    </row>
    <row r="29" spans="1:8" ht="15">
      <c r="B29" s="350" t="s">
        <v>333</v>
      </c>
    </row>
    <row r="30" spans="1:8" ht="28.5">
      <c r="A30" s="351"/>
      <c r="B30" s="352" t="s">
        <v>14</v>
      </c>
      <c r="C30" s="353" t="s">
        <v>37</v>
      </c>
      <c r="D30" s="353" t="s">
        <v>38</v>
      </c>
      <c r="E30" s="353" t="s">
        <v>6</v>
      </c>
      <c r="F30" s="353" t="s">
        <v>18</v>
      </c>
      <c r="G30" s="354" t="s">
        <v>7</v>
      </c>
      <c r="H30" s="355" t="s">
        <v>40</v>
      </c>
    </row>
    <row r="31" spans="1:8">
      <c r="B31" s="356" t="s">
        <v>76</v>
      </c>
      <c r="C31" s="357">
        <v>2564</v>
      </c>
      <c r="D31" s="357">
        <v>3351</v>
      </c>
      <c r="E31" s="357">
        <v>5912</v>
      </c>
      <c r="F31" s="358">
        <v>13.021166002246549</v>
      </c>
      <c r="G31" s="357">
        <v>3578</v>
      </c>
      <c r="H31" s="359">
        <v>65.231973169368359</v>
      </c>
    </row>
    <row r="32" spans="1:8">
      <c r="B32" s="360" t="s">
        <v>92</v>
      </c>
      <c r="C32" s="361">
        <v>2958</v>
      </c>
      <c r="D32" s="361">
        <v>2622</v>
      </c>
      <c r="E32" s="361">
        <v>5584</v>
      </c>
      <c r="F32" s="362">
        <v>12.298746778847212</v>
      </c>
      <c r="G32" s="361">
        <v>5313</v>
      </c>
      <c r="H32" s="363">
        <v>5.1006964050442312</v>
      </c>
    </row>
    <row r="33" spans="2:8">
      <c r="B33" s="360" t="s">
        <v>73</v>
      </c>
      <c r="C33" s="361">
        <v>2474</v>
      </c>
      <c r="D33" s="361">
        <v>2163</v>
      </c>
      <c r="E33" s="361">
        <v>4635</v>
      </c>
      <c r="F33" s="362">
        <v>10.208576525780234</v>
      </c>
      <c r="G33" s="361">
        <v>3969</v>
      </c>
      <c r="H33" s="363">
        <v>16.780045351473923</v>
      </c>
    </row>
    <row r="34" spans="2:8">
      <c r="B34" s="360" t="s">
        <v>75</v>
      </c>
      <c r="C34" s="361">
        <v>1956</v>
      </c>
      <c r="D34" s="361">
        <v>1640</v>
      </c>
      <c r="E34" s="361">
        <v>3595</v>
      </c>
      <c r="F34" s="362">
        <v>7.9179789881725871</v>
      </c>
      <c r="G34" s="361">
        <v>1921</v>
      </c>
      <c r="H34" s="363">
        <v>87.142113482561172</v>
      </c>
    </row>
    <row r="35" spans="2:8">
      <c r="B35" s="360" t="s">
        <v>126</v>
      </c>
      <c r="C35" s="361">
        <v>732</v>
      </c>
      <c r="D35" s="361">
        <v>534</v>
      </c>
      <c r="E35" s="361">
        <v>1268</v>
      </c>
      <c r="F35" s="362">
        <v>2.7927669977754777</v>
      </c>
      <c r="G35" s="361">
        <v>1017</v>
      </c>
      <c r="H35" s="363">
        <v>24.680432645034415</v>
      </c>
    </row>
    <row r="36" spans="2:8">
      <c r="B36" s="360" t="s">
        <v>74</v>
      </c>
      <c r="C36" s="361">
        <v>651</v>
      </c>
      <c r="D36" s="361">
        <v>561</v>
      </c>
      <c r="E36" s="361">
        <v>1218</v>
      </c>
      <c r="F36" s="362">
        <v>2.6826421161597254</v>
      </c>
      <c r="G36" s="361">
        <v>1058</v>
      </c>
      <c r="H36" s="363">
        <v>15.122873345935728</v>
      </c>
    </row>
    <row r="37" spans="2:8">
      <c r="B37" s="360" t="s">
        <v>141</v>
      </c>
      <c r="C37" s="361">
        <v>501</v>
      </c>
      <c r="D37" s="361">
        <v>693</v>
      </c>
      <c r="E37" s="361">
        <v>1196</v>
      </c>
      <c r="F37" s="362">
        <v>2.6341871682487938</v>
      </c>
      <c r="G37" s="361">
        <v>867</v>
      </c>
      <c r="H37" s="363">
        <v>37.94694348327566</v>
      </c>
    </row>
    <row r="38" spans="2:8">
      <c r="B38" s="360" t="s">
        <v>140</v>
      </c>
      <c r="C38" s="361">
        <v>603</v>
      </c>
      <c r="D38" s="361">
        <v>523</v>
      </c>
      <c r="E38" s="361">
        <v>1126</v>
      </c>
      <c r="F38" s="362">
        <v>2.4800123339867408</v>
      </c>
      <c r="G38" s="361">
        <v>349</v>
      </c>
      <c r="H38" s="363">
        <v>222.63610315186247</v>
      </c>
    </row>
    <row r="39" spans="2:8">
      <c r="B39" s="360" t="s">
        <v>91</v>
      </c>
      <c r="C39" s="361">
        <v>389</v>
      </c>
      <c r="D39" s="361">
        <v>728</v>
      </c>
      <c r="E39" s="361">
        <v>1119</v>
      </c>
      <c r="F39" s="362">
        <v>2.4645948505605357</v>
      </c>
      <c r="G39" s="361">
        <v>1004</v>
      </c>
      <c r="H39" s="363">
        <v>11.454183266932271</v>
      </c>
    </row>
    <row r="40" spans="2:8">
      <c r="B40" s="360" t="s">
        <v>368</v>
      </c>
      <c r="C40" s="361">
        <v>499</v>
      </c>
      <c r="D40" s="361">
        <v>526</v>
      </c>
      <c r="E40" s="361">
        <v>1029</v>
      </c>
      <c r="F40" s="362">
        <v>2.2663700636521815</v>
      </c>
      <c r="G40" s="361">
        <v>1003</v>
      </c>
      <c r="H40" s="363">
        <v>2.5922233300099702</v>
      </c>
    </row>
    <row r="41" spans="2:8">
      <c r="B41" s="360" t="s">
        <v>83</v>
      </c>
      <c r="C41" s="361">
        <v>562</v>
      </c>
      <c r="D41" s="361">
        <v>465</v>
      </c>
      <c r="E41" s="361">
        <v>1022</v>
      </c>
      <c r="F41" s="362">
        <v>2.250952580225976</v>
      </c>
      <c r="G41" s="361">
        <v>631</v>
      </c>
      <c r="H41" s="363">
        <v>61.965134706814581</v>
      </c>
    </row>
    <row r="42" spans="2:8">
      <c r="B42" s="360" t="s">
        <v>86</v>
      </c>
      <c r="C42" s="361">
        <v>253</v>
      </c>
      <c r="D42" s="361">
        <v>702</v>
      </c>
      <c r="E42" s="361">
        <v>959</v>
      </c>
      <c r="F42" s="362">
        <v>2.1121952293901285</v>
      </c>
      <c r="G42" s="361">
        <v>721</v>
      </c>
      <c r="H42" s="363">
        <v>33.009708737864081</v>
      </c>
    </row>
    <row r="43" spans="2:8">
      <c r="B43" s="360" t="s">
        <v>82</v>
      </c>
      <c r="C43" s="361">
        <v>412</v>
      </c>
      <c r="D43" s="361">
        <v>526</v>
      </c>
      <c r="E43" s="361">
        <v>935</v>
      </c>
      <c r="F43" s="362">
        <v>2.0593352862145675</v>
      </c>
      <c r="G43" s="361">
        <v>666</v>
      </c>
      <c r="H43" s="363">
        <v>40.390390390390394</v>
      </c>
    </row>
    <row r="44" spans="2:8">
      <c r="B44" s="360" t="s">
        <v>79</v>
      </c>
      <c r="C44" s="361">
        <v>418</v>
      </c>
      <c r="D44" s="361">
        <v>512</v>
      </c>
      <c r="E44" s="361">
        <v>931</v>
      </c>
      <c r="F44" s="362">
        <v>2.0505252956853068</v>
      </c>
      <c r="G44" s="361">
        <v>961</v>
      </c>
      <c r="H44" s="363">
        <v>-3.1217481789802286</v>
      </c>
    </row>
    <row r="45" spans="2:8">
      <c r="B45" s="360" t="s">
        <v>78</v>
      </c>
      <c r="C45" s="361">
        <v>468</v>
      </c>
      <c r="D45" s="361">
        <v>424</v>
      </c>
      <c r="E45" s="361">
        <v>889</v>
      </c>
      <c r="F45" s="362">
        <v>1.9580203951280752</v>
      </c>
      <c r="G45" s="361">
        <v>763</v>
      </c>
      <c r="H45" s="363">
        <v>16.513761467889911</v>
      </c>
    </row>
    <row r="46" spans="2:8">
      <c r="B46" s="360" t="s">
        <v>80</v>
      </c>
      <c r="C46" s="361">
        <v>404</v>
      </c>
      <c r="D46" s="361">
        <v>370</v>
      </c>
      <c r="E46" s="361">
        <v>777</v>
      </c>
      <c r="F46" s="362">
        <v>1.71134066030879</v>
      </c>
      <c r="G46" s="361">
        <v>450</v>
      </c>
      <c r="H46" s="363">
        <v>72.666666666666671</v>
      </c>
    </row>
    <row r="47" spans="2:8">
      <c r="B47" s="360" t="s">
        <v>90</v>
      </c>
      <c r="C47" s="361">
        <v>309</v>
      </c>
      <c r="D47" s="361">
        <v>401</v>
      </c>
      <c r="E47" s="361">
        <v>707</v>
      </c>
      <c r="F47" s="362">
        <v>1.5571658260467369</v>
      </c>
      <c r="G47" s="361">
        <v>631</v>
      </c>
      <c r="H47" s="363">
        <v>12.044374009508717</v>
      </c>
    </row>
    <row r="48" spans="2:8">
      <c r="B48" s="360" t="s">
        <v>131</v>
      </c>
      <c r="C48" s="361">
        <v>372</v>
      </c>
      <c r="D48" s="361">
        <v>326</v>
      </c>
      <c r="E48" s="361">
        <v>698</v>
      </c>
      <c r="F48" s="362">
        <v>1.5373433473559015</v>
      </c>
      <c r="G48" s="361">
        <v>806</v>
      </c>
      <c r="H48" s="363">
        <v>-13.399503722084367</v>
      </c>
    </row>
    <row r="49" spans="2:10">
      <c r="B49" s="360" t="s">
        <v>77</v>
      </c>
      <c r="C49" s="361">
        <v>330</v>
      </c>
      <c r="D49" s="361">
        <v>341</v>
      </c>
      <c r="E49" s="361">
        <v>669</v>
      </c>
      <c r="F49" s="362">
        <v>1.4734709160187653</v>
      </c>
      <c r="G49" s="361">
        <v>585</v>
      </c>
      <c r="H49" s="363">
        <v>14.358974358974358</v>
      </c>
    </row>
    <row r="50" spans="2:10">
      <c r="B50" s="360" t="s">
        <v>93</v>
      </c>
      <c r="C50" s="361">
        <v>212</v>
      </c>
      <c r="D50" s="361">
        <v>417</v>
      </c>
      <c r="E50" s="361">
        <v>628</v>
      </c>
      <c r="F50" s="362">
        <v>1.3831685130938485</v>
      </c>
      <c r="G50" s="361">
        <v>249</v>
      </c>
      <c r="H50" s="363">
        <v>152.20883534136547</v>
      </c>
    </row>
    <row r="51" spans="2:10">
      <c r="B51" s="364" t="s">
        <v>838</v>
      </c>
      <c r="C51" s="365">
        <v>5580</v>
      </c>
      <c r="D51" s="365">
        <v>4931</v>
      </c>
      <c r="E51" s="365">
        <v>10507</v>
      </c>
      <c r="F51" s="366">
        <v>23.141642622734178</v>
      </c>
      <c r="G51" s="367">
        <v>6598</v>
      </c>
      <c r="H51" s="368">
        <v>59.245225826007882</v>
      </c>
    </row>
    <row r="52" spans="2:10">
      <c r="B52" s="369" t="s">
        <v>21</v>
      </c>
      <c r="C52" s="370">
        <v>22647</v>
      </c>
      <c r="D52" s="370">
        <v>22756</v>
      </c>
      <c r="E52" s="371">
        <v>45403</v>
      </c>
      <c r="F52" s="372">
        <v>100</v>
      </c>
      <c r="G52" s="370">
        <v>35151</v>
      </c>
      <c r="H52" s="373">
        <v>29.165599840687324</v>
      </c>
    </row>
    <row r="53" spans="2:10">
      <c r="B53" s="349" t="s">
        <v>366</v>
      </c>
      <c r="C53" s="374"/>
      <c r="D53" s="374"/>
      <c r="E53" s="374"/>
      <c r="F53" s="374"/>
      <c r="G53" s="375"/>
      <c r="H53" s="375"/>
      <c r="I53" s="375"/>
      <c r="J53" s="375"/>
    </row>
    <row r="54" spans="2:10">
      <c r="B54" s="349"/>
      <c r="C54" s="374"/>
      <c r="D54" s="374"/>
      <c r="E54" s="374"/>
      <c r="F54" s="374"/>
      <c r="G54" s="375"/>
      <c r="H54" s="375"/>
      <c r="I54" s="375"/>
      <c r="J54" s="375"/>
    </row>
    <row r="55" spans="2:10" ht="23.25">
      <c r="B55" s="335" t="s">
        <v>634</v>
      </c>
      <c r="C55" s="375"/>
      <c r="D55" s="375"/>
      <c r="E55" s="375"/>
      <c r="F55" s="375"/>
      <c r="G55" s="375"/>
      <c r="H55" s="375"/>
      <c r="I55" s="375"/>
      <c r="J55" s="375"/>
    </row>
    <row r="56" spans="2:10" ht="15">
      <c r="B56" s="376" t="s">
        <v>839</v>
      </c>
      <c r="I56" s="375"/>
      <c r="J56" s="375"/>
    </row>
    <row r="57" spans="2:10">
      <c r="B57" s="149" t="s">
        <v>871</v>
      </c>
      <c r="I57" s="375"/>
      <c r="J57" s="375"/>
    </row>
    <row r="58" spans="2:10">
      <c r="B58" s="330" t="s">
        <v>14</v>
      </c>
      <c r="C58" s="377" t="s">
        <v>23</v>
      </c>
      <c r="D58" s="377" t="s">
        <v>24</v>
      </c>
      <c r="E58" s="377" t="s">
        <v>25</v>
      </c>
      <c r="F58" s="377" t="s">
        <v>26</v>
      </c>
      <c r="G58" s="377" t="s">
        <v>27</v>
      </c>
      <c r="H58" s="377" t="s">
        <v>28</v>
      </c>
      <c r="I58" s="375"/>
      <c r="J58" s="375"/>
    </row>
    <row r="59" spans="2:10">
      <c r="B59" s="378" t="s">
        <v>76</v>
      </c>
      <c r="C59" s="379">
        <v>796</v>
      </c>
      <c r="D59" s="379">
        <v>744</v>
      </c>
      <c r="E59" s="379">
        <v>2696</v>
      </c>
      <c r="F59" s="379">
        <v>1419</v>
      </c>
      <c r="G59" s="379">
        <v>256</v>
      </c>
      <c r="H59" s="380">
        <v>5912</v>
      </c>
      <c r="I59" s="375"/>
      <c r="J59" s="375"/>
    </row>
    <row r="60" spans="2:10">
      <c r="B60" s="381" t="s">
        <v>92</v>
      </c>
      <c r="C60" s="374">
        <v>295</v>
      </c>
      <c r="D60" s="374">
        <v>351</v>
      </c>
      <c r="E60" s="374">
        <v>1435</v>
      </c>
      <c r="F60" s="374">
        <v>2366</v>
      </c>
      <c r="G60" s="374">
        <v>1132</v>
      </c>
      <c r="H60" s="382">
        <v>5584</v>
      </c>
      <c r="I60" s="375"/>
      <c r="J60" s="375"/>
    </row>
    <row r="61" spans="2:10">
      <c r="B61" s="381" t="s">
        <v>73</v>
      </c>
      <c r="C61" s="374">
        <v>366</v>
      </c>
      <c r="D61" s="374">
        <v>388</v>
      </c>
      <c r="E61" s="374">
        <v>1573</v>
      </c>
      <c r="F61" s="374">
        <v>1857</v>
      </c>
      <c r="G61" s="374">
        <v>458</v>
      </c>
      <c r="H61" s="382">
        <v>4635</v>
      </c>
      <c r="I61" s="375"/>
      <c r="J61" s="375"/>
    </row>
    <row r="62" spans="2:10">
      <c r="B62" s="381" t="s">
        <v>75</v>
      </c>
      <c r="C62" s="374">
        <v>425</v>
      </c>
      <c r="D62" s="374">
        <v>271</v>
      </c>
      <c r="E62" s="374">
        <v>2301</v>
      </c>
      <c r="F62" s="374">
        <v>492</v>
      </c>
      <c r="G62" s="374">
        <v>117</v>
      </c>
      <c r="H62" s="382">
        <v>3595</v>
      </c>
      <c r="I62" s="375"/>
      <c r="J62" s="375"/>
    </row>
    <row r="63" spans="2:10">
      <c r="B63" s="381" t="s">
        <v>126</v>
      </c>
      <c r="C63" s="374">
        <v>117</v>
      </c>
      <c r="D63" s="374">
        <v>121</v>
      </c>
      <c r="E63" s="374">
        <v>320</v>
      </c>
      <c r="F63" s="374">
        <v>368</v>
      </c>
      <c r="G63" s="374">
        <v>336</v>
      </c>
      <c r="H63" s="382">
        <v>1268</v>
      </c>
      <c r="I63" s="375"/>
      <c r="J63" s="375"/>
    </row>
    <row r="64" spans="2:10">
      <c r="B64" s="381" t="s">
        <v>74</v>
      </c>
      <c r="C64" s="374">
        <v>214</v>
      </c>
      <c r="D64" s="374">
        <v>129</v>
      </c>
      <c r="E64" s="374">
        <v>438</v>
      </c>
      <c r="F64" s="374">
        <v>349</v>
      </c>
      <c r="G64" s="374">
        <v>87</v>
      </c>
      <c r="H64" s="382">
        <v>1218</v>
      </c>
      <c r="I64" s="375"/>
      <c r="J64" s="375"/>
    </row>
    <row r="65" spans="2:10">
      <c r="B65" s="381" t="s">
        <v>141</v>
      </c>
      <c r="C65" s="374">
        <v>102</v>
      </c>
      <c r="D65" s="374">
        <v>152</v>
      </c>
      <c r="E65" s="374">
        <v>580</v>
      </c>
      <c r="F65" s="374">
        <v>258</v>
      </c>
      <c r="G65" s="374">
        <v>96</v>
      </c>
      <c r="H65" s="382">
        <v>1196</v>
      </c>
      <c r="I65" s="375"/>
      <c r="J65" s="375"/>
    </row>
    <row r="66" spans="2:10">
      <c r="B66" s="381" t="s">
        <v>140</v>
      </c>
      <c r="C66" s="374">
        <v>69</v>
      </c>
      <c r="D66" s="374">
        <v>211</v>
      </c>
      <c r="E66" s="374">
        <v>795</v>
      </c>
      <c r="F66" s="374">
        <v>46</v>
      </c>
      <c r="G66" s="374">
        <v>5</v>
      </c>
      <c r="H66" s="382">
        <v>1126</v>
      </c>
      <c r="I66" s="375"/>
      <c r="J66" s="375"/>
    </row>
    <row r="67" spans="2:10">
      <c r="B67" s="381" t="s">
        <v>91</v>
      </c>
      <c r="C67" s="374">
        <v>105</v>
      </c>
      <c r="D67" s="374">
        <v>134</v>
      </c>
      <c r="E67" s="374">
        <v>524</v>
      </c>
      <c r="F67" s="374">
        <v>277</v>
      </c>
      <c r="G67" s="374">
        <v>78</v>
      </c>
      <c r="H67" s="382">
        <v>1119</v>
      </c>
      <c r="I67" s="375"/>
      <c r="J67" s="375"/>
    </row>
    <row r="68" spans="2:10">
      <c r="B68" s="381" t="s">
        <v>368</v>
      </c>
      <c r="C68" s="374">
        <v>37</v>
      </c>
      <c r="D68" s="374">
        <v>34</v>
      </c>
      <c r="E68" s="374">
        <v>270</v>
      </c>
      <c r="F68" s="374">
        <v>490</v>
      </c>
      <c r="G68" s="374">
        <v>198</v>
      </c>
      <c r="H68" s="382">
        <v>1029</v>
      </c>
      <c r="I68" s="375"/>
      <c r="J68" s="375"/>
    </row>
    <row r="69" spans="2:10">
      <c r="B69" s="381" t="s">
        <v>83</v>
      </c>
      <c r="C69" s="374">
        <v>57</v>
      </c>
      <c r="D69" s="374">
        <v>54</v>
      </c>
      <c r="E69" s="374">
        <v>721</v>
      </c>
      <c r="F69" s="374">
        <v>107</v>
      </c>
      <c r="G69" s="374">
        <v>86</v>
      </c>
      <c r="H69" s="382">
        <v>1022</v>
      </c>
      <c r="I69" s="375"/>
      <c r="J69" s="375"/>
    </row>
    <row r="70" spans="2:10">
      <c r="B70" s="383" t="s">
        <v>29</v>
      </c>
      <c r="C70" s="384">
        <v>41353</v>
      </c>
      <c r="D70" s="384">
        <v>23518</v>
      </c>
      <c r="E70" s="384">
        <v>48874</v>
      </c>
      <c r="F70" s="384">
        <v>34643</v>
      </c>
      <c r="G70" s="384">
        <v>9150</v>
      </c>
      <c r="H70" s="385">
        <v>157531</v>
      </c>
      <c r="I70" s="375"/>
      <c r="J70" s="375"/>
    </row>
    <row r="71" spans="2:10">
      <c r="B71" s="383" t="s">
        <v>370</v>
      </c>
      <c r="C71" s="384">
        <v>1101</v>
      </c>
      <c r="D71" s="384">
        <v>1097</v>
      </c>
      <c r="E71" s="384">
        <v>5033</v>
      </c>
      <c r="F71" s="384">
        <v>5506</v>
      </c>
      <c r="G71" s="384">
        <v>2106</v>
      </c>
      <c r="H71" s="385">
        <v>14839</v>
      </c>
      <c r="I71" s="375"/>
      <c r="J71" s="375"/>
    </row>
    <row r="72" spans="2:10">
      <c r="B72" s="386" t="s">
        <v>371</v>
      </c>
      <c r="C72" s="387">
        <v>2894</v>
      </c>
      <c r="D72" s="387">
        <v>3042</v>
      </c>
      <c r="E72" s="387">
        <v>14410</v>
      </c>
      <c r="F72" s="387">
        <v>7294</v>
      </c>
      <c r="G72" s="387">
        <v>2899</v>
      </c>
      <c r="H72" s="388">
        <v>30568</v>
      </c>
      <c r="J72" s="375"/>
    </row>
    <row r="73" spans="2:10">
      <c r="B73" s="389" t="s">
        <v>372</v>
      </c>
      <c r="C73" s="374"/>
      <c r="D73" s="374"/>
      <c r="E73" s="374"/>
      <c r="F73" s="374"/>
      <c r="G73" s="390"/>
      <c r="H73" s="391"/>
      <c r="I73" s="375"/>
      <c r="J73" s="375"/>
    </row>
    <row r="74" spans="2:10">
      <c r="B74" s="375"/>
      <c r="C74" s="390"/>
      <c r="D74" s="390"/>
      <c r="E74" s="390"/>
      <c r="F74" s="390"/>
      <c r="G74" s="390"/>
      <c r="H74" s="391"/>
      <c r="I74" s="375"/>
      <c r="J74" s="375"/>
    </row>
    <row r="75" spans="2:10" ht="23.25">
      <c r="B75" s="335" t="s">
        <v>402</v>
      </c>
      <c r="C75" s="375"/>
      <c r="D75" s="375"/>
      <c r="E75" s="375"/>
      <c r="F75" s="375"/>
      <c r="G75" s="375"/>
      <c r="H75" s="375"/>
      <c r="I75" s="375"/>
      <c r="J75" s="375"/>
    </row>
    <row r="76" spans="2:10" ht="15">
      <c r="B76" s="350" t="s">
        <v>839</v>
      </c>
    </row>
    <row r="77" spans="2:10">
      <c r="B77" s="149" t="s">
        <v>843</v>
      </c>
    </row>
    <row r="78" spans="2:10">
      <c r="B78" s="330" t="s">
        <v>14</v>
      </c>
      <c r="C78" s="377" t="s">
        <v>23</v>
      </c>
      <c r="D78" s="377" t="s">
        <v>24</v>
      </c>
      <c r="E78" s="377" t="s">
        <v>25</v>
      </c>
      <c r="F78" s="377" t="s">
        <v>26</v>
      </c>
      <c r="G78" s="377" t="s">
        <v>27</v>
      </c>
      <c r="H78" s="392" t="s">
        <v>28</v>
      </c>
    </row>
    <row r="79" spans="2:10">
      <c r="B79" s="378" t="s">
        <v>76</v>
      </c>
      <c r="C79" s="393">
        <v>13.464140730717187</v>
      </c>
      <c r="D79" s="393">
        <v>12.584573748308525</v>
      </c>
      <c r="E79" s="393">
        <v>45.602165087956699</v>
      </c>
      <c r="F79" s="393">
        <v>24.002029769959403</v>
      </c>
      <c r="G79" s="393">
        <v>4.3301759133964817</v>
      </c>
      <c r="H79" s="380">
        <v>5912</v>
      </c>
    </row>
    <row r="80" spans="2:10">
      <c r="B80" s="381" t="s">
        <v>92</v>
      </c>
      <c r="C80" s="394">
        <v>5.2829512893982811</v>
      </c>
      <c r="D80" s="394">
        <v>6.2858166189111744</v>
      </c>
      <c r="E80" s="394">
        <v>25.69842406876791</v>
      </c>
      <c r="F80" s="394">
        <v>42.371060171919773</v>
      </c>
      <c r="G80" s="394">
        <v>20.272206303724928</v>
      </c>
      <c r="H80" s="382">
        <v>5584</v>
      </c>
    </row>
    <row r="81" spans="2:8">
      <c r="B81" s="381" t="s">
        <v>73</v>
      </c>
      <c r="C81" s="394">
        <v>7.8964401294498385</v>
      </c>
      <c r="D81" s="394">
        <v>8.3710895361380793</v>
      </c>
      <c r="E81" s="394">
        <v>33.937432578209275</v>
      </c>
      <c r="F81" s="394">
        <v>40.064724919093855</v>
      </c>
      <c r="G81" s="394">
        <v>9.8813376483279391</v>
      </c>
      <c r="H81" s="382">
        <v>4635</v>
      </c>
    </row>
    <row r="82" spans="2:8">
      <c r="B82" s="381" t="s">
        <v>75</v>
      </c>
      <c r="C82" s="394">
        <v>11.821974965229485</v>
      </c>
      <c r="D82" s="394">
        <v>7.5382475660639781</v>
      </c>
      <c r="E82" s="394">
        <v>64.005563282336581</v>
      </c>
      <c r="F82" s="394">
        <v>13.685674547983309</v>
      </c>
      <c r="G82" s="394">
        <v>3.2545201668984705</v>
      </c>
      <c r="H82" s="382">
        <v>3595</v>
      </c>
    </row>
    <row r="83" spans="2:8">
      <c r="B83" s="381" t="s">
        <v>126</v>
      </c>
      <c r="C83" s="394">
        <v>9.2271293375394325</v>
      </c>
      <c r="D83" s="394">
        <v>9.5425867507886437</v>
      </c>
      <c r="E83" s="394">
        <v>25.236593059936908</v>
      </c>
      <c r="F83" s="394">
        <v>29.022082018927449</v>
      </c>
      <c r="G83" s="394">
        <v>26.498422712933756</v>
      </c>
      <c r="H83" s="382">
        <v>1268</v>
      </c>
    </row>
    <row r="84" spans="2:8">
      <c r="B84" s="381" t="s">
        <v>74</v>
      </c>
      <c r="C84" s="394">
        <v>17.569786535303777</v>
      </c>
      <c r="D84" s="394">
        <v>10.591133004926109</v>
      </c>
      <c r="E84" s="394">
        <v>35.960591133004925</v>
      </c>
      <c r="F84" s="394">
        <v>28.653530377668307</v>
      </c>
      <c r="G84" s="394">
        <v>7.1428571428571423</v>
      </c>
      <c r="H84" s="382">
        <v>1218</v>
      </c>
    </row>
    <row r="85" spans="2:8">
      <c r="B85" s="381" t="s">
        <v>141</v>
      </c>
      <c r="C85" s="394">
        <v>8.5284280936454842</v>
      </c>
      <c r="D85" s="394">
        <v>12.709030100334449</v>
      </c>
      <c r="E85" s="394">
        <v>48.494983277591977</v>
      </c>
      <c r="F85" s="394">
        <v>21.57190635451505</v>
      </c>
      <c r="G85" s="394">
        <v>8.0267558528428093</v>
      </c>
      <c r="H85" s="382">
        <v>1196</v>
      </c>
    </row>
    <row r="86" spans="2:8">
      <c r="B86" s="381" t="s">
        <v>140</v>
      </c>
      <c r="C86" s="394">
        <v>6.1278863232682053</v>
      </c>
      <c r="D86" s="394">
        <v>18.738898756660745</v>
      </c>
      <c r="E86" s="394">
        <v>70.603907637655411</v>
      </c>
      <c r="F86" s="394">
        <v>4.0852575488454708</v>
      </c>
      <c r="G86" s="394">
        <v>0.44404973357015981</v>
      </c>
      <c r="H86" s="382">
        <v>1126</v>
      </c>
    </row>
    <row r="87" spans="2:8">
      <c r="B87" s="381" t="s">
        <v>91</v>
      </c>
      <c r="C87" s="394">
        <v>9.3833780160857909</v>
      </c>
      <c r="D87" s="394">
        <v>11.974977658623772</v>
      </c>
      <c r="E87" s="394">
        <v>46.827524575513849</v>
      </c>
      <c r="F87" s="394">
        <v>24.754244861483468</v>
      </c>
      <c r="G87" s="394">
        <v>6.9705093833780163</v>
      </c>
      <c r="H87" s="382">
        <v>1119</v>
      </c>
    </row>
    <row r="88" spans="2:8">
      <c r="B88" s="381" t="s">
        <v>368</v>
      </c>
      <c r="C88" s="394">
        <v>3.5957240038872693</v>
      </c>
      <c r="D88" s="394">
        <v>3.3041788143828956</v>
      </c>
      <c r="E88" s="394">
        <v>26.239067055393583</v>
      </c>
      <c r="F88" s="394">
        <v>47.619047619047613</v>
      </c>
      <c r="G88" s="394">
        <v>19.241982507288629</v>
      </c>
      <c r="H88" s="382">
        <v>1029</v>
      </c>
    </row>
    <row r="89" spans="2:8">
      <c r="B89" s="381" t="s">
        <v>83</v>
      </c>
      <c r="C89" s="394">
        <v>5.5772994129158509</v>
      </c>
      <c r="D89" s="394">
        <v>5.283757338551859</v>
      </c>
      <c r="E89" s="394">
        <v>70.547945205479451</v>
      </c>
      <c r="F89" s="394">
        <v>10.469667318982387</v>
      </c>
      <c r="G89" s="394">
        <v>8.4148727984344411</v>
      </c>
      <c r="H89" s="382">
        <v>1022</v>
      </c>
    </row>
    <row r="90" spans="2:8">
      <c r="B90" s="383" t="s">
        <v>29</v>
      </c>
      <c r="C90" s="395">
        <v>26.250706210206243</v>
      </c>
      <c r="D90" s="395">
        <v>14.929125061099086</v>
      </c>
      <c r="E90" s="395">
        <v>31.025004602268758</v>
      </c>
      <c r="F90" s="395">
        <v>21.991227123550285</v>
      </c>
      <c r="G90" s="395">
        <v>5.8083805727126725</v>
      </c>
      <c r="H90" s="385">
        <v>157531</v>
      </c>
    </row>
    <row r="91" spans="2:8">
      <c r="B91" s="383" t="s">
        <v>370</v>
      </c>
      <c r="C91" s="395">
        <v>7.4196374418761373</v>
      </c>
      <c r="D91" s="395">
        <v>7.392681447536896</v>
      </c>
      <c r="E91" s="395">
        <v>33.917379877350221</v>
      </c>
      <c r="F91" s="395">
        <v>37.104926207965491</v>
      </c>
      <c r="G91" s="395">
        <v>14.192331019610485</v>
      </c>
      <c r="H91" s="385">
        <v>14839</v>
      </c>
    </row>
    <row r="92" spans="2:8">
      <c r="B92" s="386" t="s">
        <v>371</v>
      </c>
      <c r="C92" s="396">
        <v>9.4870452761057305</v>
      </c>
      <c r="D92" s="396">
        <v>9.8272703480764196</v>
      </c>
      <c r="E92" s="396">
        <v>47.16042920701387</v>
      </c>
      <c r="F92" s="396">
        <v>23.881182936404084</v>
      </c>
      <c r="G92" s="396">
        <v>9.4903166710285269</v>
      </c>
      <c r="H92" s="388">
        <v>30568</v>
      </c>
    </row>
    <row r="93" spans="2:8">
      <c r="B93" s="389" t="s">
        <v>372</v>
      </c>
    </row>
    <row r="95" spans="2:8" ht="23.25">
      <c r="B95" s="335" t="s">
        <v>637</v>
      </c>
    </row>
    <row r="96" spans="2:8" ht="15">
      <c r="B96" s="350" t="s">
        <v>840</v>
      </c>
    </row>
    <row r="97" spans="2:8">
      <c r="B97" s="149" t="s">
        <v>887</v>
      </c>
    </row>
    <row r="98" spans="2:8">
      <c r="B98" s="330" t="s">
        <v>14</v>
      </c>
      <c r="C98" s="397" t="s">
        <v>32</v>
      </c>
      <c r="D98" s="392" t="s">
        <v>33</v>
      </c>
      <c r="E98" s="397" t="s">
        <v>34</v>
      </c>
      <c r="F98" s="397" t="s">
        <v>35</v>
      </c>
      <c r="G98" s="397" t="s">
        <v>635</v>
      </c>
      <c r="H98" s="397" t="s">
        <v>373</v>
      </c>
    </row>
    <row r="99" spans="2:8">
      <c r="B99" s="378" t="s">
        <v>76</v>
      </c>
      <c r="C99" s="398">
        <v>423</v>
      </c>
      <c r="D99" s="398">
        <v>616</v>
      </c>
      <c r="E99" s="398">
        <v>505</v>
      </c>
      <c r="F99" s="398">
        <v>3882</v>
      </c>
      <c r="G99" s="398">
        <v>262</v>
      </c>
      <c r="H99" s="380">
        <v>5684</v>
      </c>
    </row>
    <row r="100" spans="2:8">
      <c r="B100" s="381" t="s">
        <v>92</v>
      </c>
      <c r="C100" s="398">
        <v>2679</v>
      </c>
      <c r="D100" s="398">
        <v>417</v>
      </c>
      <c r="E100" s="398">
        <v>536</v>
      </c>
      <c r="F100" s="398">
        <v>1580</v>
      </c>
      <c r="G100" s="398">
        <v>117</v>
      </c>
      <c r="H100" s="382">
        <v>5330</v>
      </c>
    </row>
    <row r="101" spans="2:8">
      <c r="B101" s="381" t="s">
        <v>73</v>
      </c>
      <c r="C101" s="398">
        <v>1310</v>
      </c>
      <c r="D101" s="398">
        <v>693</v>
      </c>
      <c r="E101" s="398">
        <v>730</v>
      </c>
      <c r="F101" s="398">
        <v>1609</v>
      </c>
      <c r="G101" s="398">
        <v>83</v>
      </c>
      <c r="H101" s="382">
        <v>4424</v>
      </c>
    </row>
    <row r="102" spans="2:8">
      <c r="B102" s="381" t="s">
        <v>75</v>
      </c>
      <c r="C102" s="398">
        <v>158</v>
      </c>
      <c r="D102" s="398">
        <v>79</v>
      </c>
      <c r="E102" s="398">
        <v>304</v>
      </c>
      <c r="F102" s="398">
        <v>2752</v>
      </c>
      <c r="G102" s="398">
        <v>215</v>
      </c>
      <c r="H102" s="382">
        <v>3505</v>
      </c>
    </row>
    <row r="103" spans="2:8">
      <c r="B103" s="381" t="s">
        <v>126</v>
      </c>
      <c r="C103" s="398">
        <v>642</v>
      </c>
      <c r="D103" s="398">
        <v>64</v>
      </c>
      <c r="E103" s="398">
        <v>112</v>
      </c>
      <c r="F103" s="398">
        <v>382</v>
      </c>
      <c r="G103" s="398">
        <v>21</v>
      </c>
      <c r="H103" s="382">
        <v>1222</v>
      </c>
    </row>
    <row r="104" spans="2:8">
      <c r="B104" s="381" t="s">
        <v>74</v>
      </c>
      <c r="C104" s="398">
        <v>162</v>
      </c>
      <c r="D104" s="398">
        <v>74</v>
      </c>
      <c r="E104" s="398">
        <v>168</v>
      </c>
      <c r="F104" s="398">
        <v>673</v>
      </c>
      <c r="G104" s="398">
        <v>101</v>
      </c>
      <c r="H104" s="382">
        <v>1174</v>
      </c>
    </row>
    <row r="105" spans="2:8">
      <c r="B105" s="381" t="s">
        <v>141</v>
      </c>
      <c r="C105" s="398">
        <v>75</v>
      </c>
      <c r="D105" s="398">
        <v>65</v>
      </c>
      <c r="E105" s="398">
        <v>122</v>
      </c>
      <c r="F105" s="398">
        <v>809</v>
      </c>
      <c r="G105" s="398">
        <v>60</v>
      </c>
      <c r="H105" s="382">
        <v>1129</v>
      </c>
    </row>
    <row r="106" spans="2:8">
      <c r="B106" s="381" t="s">
        <v>140</v>
      </c>
      <c r="C106" s="398">
        <v>0</v>
      </c>
      <c r="D106" s="398">
        <v>5</v>
      </c>
      <c r="E106" s="398">
        <v>17</v>
      </c>
      <c r="F106" s="398">
        <v>915</v>
      </c>
      <c r="G106" s="398">
        <v>152</v>
      </c>
      <c r="H106" s="382">
        <v>1126</v>
      </c>
    </row>
    <row r="107" spans="2:8">
      <c r="B107" s="381" t="s">
        <v>91</v>
      </c>
      <c r="C107" s="398">
        <v>127</v>
      </c>
      <c r="D107" s="398">
        <v>149</v>
      </c>
      <c r="E107" s="398">
        <v>212</v>
      </c>
      <c r="F107" s="398">
        <v>488</v>
      </c>
      <c r="G107" s="398">
        <v>81</v>
      </c>
      <c r="H107" s="382">
        <v>1056</v>
      </c>
    </row>
    <row r="108" spans="2:8">
      <c r="B108" s="381" t="s">
        <v>368</v>
      </c>
      <c r="C108" s="398">
        <v>589</v>
      </c>
      <c r="D108" s="398">
        <v>213</v>
      </c>
      <c r="E108" s="398">
        <v>72</v>
      </c>
      <c r="F108" s="398">
        <v>104</v>
      </c>
      <c r="G108" s="398">
        <v>3</v>
      </c>
      <c r="H108" s="382">
        <v>985</v>
      </c>
    </row>
    <row r="109" spans="2:8">
      <c r="B109" s="381" t="s">
        <v>83</v>
      </c>
      <c r="C109" s="398">
        <v>126</v>
      </c>
      <c r="D109" s="398">
        <v>54</v>
      </c>
      <c r="E109" s="398">
        <v>62</v>
      </c>
      <c r="F109" s="398">
        <v>730</v>
      </c>
      <c r="G109" s="398">
        <v>23</v>
      </c>
      <c r="H109" s="391">
        <v>998</v>
      </c>
    </row>
    <row r="110" spans="2:8">
      <c r="B110" s="399" t="s">
        <v>374</v>
      </c>
      <c r="C110" s="400">
        <v>10580</v>
      </c>
      <c r="D110" s="400">
        <v>4063</v>
      </c>
      <c r="E110" s="400">
        <v>5198</v>
      </c>
      <c r="F110" s="400">
        <v>9279</v>
      </c>
      <c r="G110" s="400">
        <v>1810</v>
      </c>
      <c r="H110" s="401">
        <v>45407</v>
      </c>
    </row>
    <row r="111" spans="2:8">
      <c r="B111" s="389"/>
    </row>
    <row r="112" spans="2:8" ht="23.25">
      <c r="B112" s="335" t="s">
        <v>638</v>
      </c>
    </row>
    <row r="113" spans="2:10" ht="15">
      <c r="B113" s="350" t="s">
        <v>840</v>
      </c>
    </row>
    <row r="114" spans="2:10">
      <c r="B114" s="149" t="s">
        <v>845</v>
      </c>
    </row>
    <row r="115" spans="2:10">
      <c r="B115" s="402" t="s">
        <v>14</v>
      </c>
      <c r="C115" s="403" t="s">
        <v>32</v>
      </c>
      <c r="D115" s="404" t="s">
        <v>33</v>
      </c>
      <c r="E115" s="403" t="s">
        <v>34</v>
      </c>
      <c r="F115" s="403" t="s">
        <v>35</v>
      </c>
      <c r="G115" s="403" t="s">
        <v>635</v>
      </c>
      <c r="H115" s="405" t="s">
        <v>373</v>
      </c>
    </row>
    <row r="116" spans="2:10">
      <c r="B116" s="381" t="s">
        <v>76</v>
      </c>
      <c r="C116" s="406">
        <v>7.441942294159043</v>
      </c>
      <c r="D116" s="406">
        <v>10.83743842364532</v>
      </c>
      <c r="E116" s="406">
        <v>8.8845883180858554</v>
      </c>
      <c r="F116" s="406">
        <v>68.296973961998603</v>
      </c>
      <c r="G116" s="406">
        <v>4.609429978888107</v>
      </c>
      <c r="H116" s="380">
        <v>5684</v>
      </c>
    </row>
    <row r="117" spans="2:10">
      <c r="B117" s="381" t="s">
        <v>92</v>
      </c>
      <c r="C117" s="406">
        <v>50.262664165103189</v>
      </c>
      <c r="D117" s="406">
        <v>7.823639774859287</v>
      </c>
      <c r="E117" s="406">
        <v>10.056285178236397</v>
      </c>
      <c r="F117" s="406">
        <v>29.643527204502814</v>
      </c>
      <c r="G117" s="406">
        <v>2.1951219512195119</v>
      </c>
      <c r="H117" s="382">
        <v>5330</v>
      </c>
    </row>
    <row r="118" spans="2:10">
      <c r="B118" s="381" t="s">
        <v>73</v>
      </c>
      <c r="C118" s="406">
        <v>29.61121157323689</v>
      </c>
      <c r="D118" s="406">
        <v>15.664556962025317</v>
      </c>
      <c r="E118" s="406">
        <v>16.500904159132006</v>
      </c>
      <c r="F118" s="406">
        <v>36.369801084990961</v>
      </c>
      <c r="G118" s="406">
        <v>1.876130198915009</v>
      </c>
      <c r="H118" s="382">
        <v>4424</v>
      </c>
    </row>
    <row r="119" spans="2:10">
      <c r="B119" s="381" t="s">
        <v>75</v>
      </c>
      <c r="C119" s="406">
        <v>4.5078459343794579</v>
      </c>
      <c r="D119" s="406">
        <v>2.253922967189729</v>
      </c>
      <c r="E119" s="406">
        <v>8.6733238231098433</v>
      </c>
      <c r="F119" s="406">
        <v>78.516405135520685</v>
      </c>
      <c r="G119" s="406">
        <v>6.1340941512125529</v>
      </c>
      <c r="H119" s="382">
        <v>3505</v>
      </c>
    </row>
    <row r="120" spans="2:10">
      <c r="B120" s="381" t="s">
        <v>126</v>
      </c>
      <c r="C120" s="406">
        <v>52.53682487725041</v>
      </c>
      <c r="D120" s="406">
        <v>5.2373158756137483</v>
      </c>
      <c r="E120" s="406">
        <v>9.1653027823240585</v>
      </c>
      <c r="F120" s="406">
        <v>31.260229132569556</v>
      </c>
      <c r="G120" s="406">
        <v>1.718494271685761</v>
      </c>
      <c r="H120" s="382">
        <v>1222</v>
      </c>
    </row>
    <row r="121" spans="2:10">
      <c r="B121" s="381" t="s">
        <v>74</v>
      </c>
      <c r="C121" s="406">
        <v>13.798977853492334</v>
      </c>
      <c r="D121" s="406">
        <v>6.3032367972742751</v>
      </c>
      <c r="E121" s="406">
        <v>14.310051107325384</v>
      </c>
      <c r="F121" s="406">
        <v>57.325383304940367</v>
      </c>
      <c r="G121" s="406">
        <v>8.6030664395229977</v>
      </c>
      <c r="H121" s="382">
        <v>1174</v>
      </c>
    </row>
    <row r="122" spans="2:10">
      <c r="B122" s="381" t="s">
        <v>141</v>
      </c>
      <c r="C122" s="406">
        <v>6.6430469441984048</v>
      </c>
      <c r="D122" s="406">
        <v>5.7573073516386177</v>
      </c>
      <c r="E122" s="406">
        <v>10.806023029229408</v>
      </c>
      <c r="F122" s="406">
        <v>71.6563330380868</v>
      </c>
      <c r="G122" s="406">
        <v>5.3144375553587242</v>
      </c>
      <c r="H122" s="382">
        <v>1129</v>
      </c>
    </row>
    <row r="123" spans="2:10">
      <c r="B123" s="381" t="s">
        <v>140</v>
      </c>
      <c r="C123" s="407" t="s">
        <v>94</v>
      </c>
      <c r="D123" s="406">
        <v>0.44404973357015981</v>
      </c>
      <c r="E123" s="406">
        <v>1.5097690941385435</v>
      </c>
      <c r="F123" s="406">
        <v>81.261101243339255</v>
      </c>
      <c r="G123" s="406">
        <v>13.49911190053286</v>
      </c>
      <c r="H123" s="382">
        <v>1126</v>
      </c>
      <c r="J123" s="408"/>
    </row>
    <row r="124" spans="2:10">
      <c r="B124" s="381" t="s">
        <v>91</v>
      </c>
      <c r="C124" s="406">
        <v>12.026515151515152</v>
      </c>
      <c r="D124" s="406">
        <v>14.109848484848486</v>
      </c>
      <c r="E124" s="406">
        <v>20.075757575757574</v>
      </c>
      <c r="F124" s="406">
        <v>46.212121212121211</v>
      </c>
      <c r="G124" s="406">
        <v>7.6704545454545459</v>
      </c>
      <c r="H124" s="382">
        <v>1056</v>
      </c>
    </row>
    <row r="125" spans="2:10">
      <c r="B125" s="381" t="s">
        <v>368</v>
      </c>
      <c r="C125" s="406">
        <v>59.796954314720807</v>
      </c>
      <c r="D125" s="406">
        <v>21.6243654822335</v>
      </c>
      <c r="E125" s="406">
        <v>7.309644670050762</v>
      </c>
      <c r="F125" s="406">
        <v>10.558375634517766</v>
      </c>
      <c r="G125" s="406">
        <v>0.3045685279187817</v>
      </c>
      <c r="H125" s="382">
        <v>985</v>
      </c>
    </row>
    <row r="126" spans="2:10">
      <c r="B126" s="381" t="s">
        <v>83</v>
      </c>
      <c r="C126" s="406">
        <v>12.625250501002002</v>
      </c>
      <c r="D126" s="406">
        <v>5.4108216432865728</v>
      </c>
      <c r="E126" s="406">
        <v>6.2124248496993983</v>
      </c>
      <c r="F126" s="406">
        <v>73.146292585170329</v>
      </c>
      <c r="G126" s="406">
        <v>2.3046092184368736</v>
      </c>
      <c r="H126" s="391">
        <v>998</v>
      </c>
      <c r="J126" s="409"/>
    </row>
    <row r="127" spans="2:10">
      <c r="B127" s="399" t="s">
        <v>374</v>
      </c>
      <c r="C127" s="410">
        <v>23.300372189310018</v>
      </c>
      <c r="D127" s="410">
        <v>8.9479595657057285</v>
      </c>
      <c r="E127" s="410">
        <v>11.447574162574051</v>
      </c>
      <c r="F127" s="410">
        <v>20.435175193252142</v>
      </c>
      <c r="G127" s="410">
        <v>3.9861695333318652</v>
      </c>
      <c r="H127" s="401">
        <v>45407</v>
      </c>
    </row>
    <row r="128" spans="2:10">
      <c r="B128" s="389"/>
    </row>
    <row r="129" spans="2:11" ht="23.25">
      <c r="B129" s="335" t="s">
        <v>375</v>
      </c>
    </row>
    <row r="130" spans="2:11" ht="15">
      <c r="B130" s="350" t="s">
        <v>819</v>
      </c>
      <c r="K130" s="411"/>
    </row>
    <row r="131" spans="2:11" ht="28.5">
      <c r="B131" s="412" t="s">
        <v>36</v>
      </c>
      <c r="C131" s="413" t="s">
        <v>37</v>
      </c>
      <c r="D131" s="414" t="s">
        <v>38</v>
      </c>
      <c r="E131" s="413" t="s">
        <v>6</v>
      </c>
      <c r="F131" s="413" t="s">
        <v>39</v>
      </c>
      <c r="G131" s="413" t="s">
        <v>636</v>
      </c>
      <c r="H131" s="355" t="s">
        <v>40</v>
      </c>
    </row>
    <row r="132" spans="2:11">
      <c r="B132" s="415" t="s">
        <v>95</v>
      </c>
      <c r="C132" s="416">
        <v>16993</v>
      </c>
      <c r="D132" s="416">
        <v>17964</v>
      </c>
      <c r="E132" s="416">
        <v>34962</v>
      </c>
      <c r="F132" s="358">
        <v>51.750321940822097</v>
      </c>
      <c r="G132" s="416">
        <v>34616</v>
      </c>
      <c r="H132" s="359">
        <v>0.99953778599491572</v>
      </c>
    </row>
    <row r="133" spans="2:11">
      <c r="B133" s="360" t="s">
        <v>112</v>
      </c>
      <c r="C133" s="361">
        <v>1736</v>
      </c>
      <c r="D133" s="361">
        <v>1507</v>
      </c>
      <c r="E133" s="361">
        <v>3242</v>
      </c>
      <c r="F133" s="362">
        <v>4.7987684838437517</v>
      </c>
      <c r="G133" s="361">
        <v>2858</v>
      </c>
      <c r="H133" s="363">
        <v>13.435969209237228</v>
      </c>
    </row>
    <row r="134" spans="2:11">
      <c r="B134" s="360" t="s">
        <v>52</v>
      </c>
      <c r="C134" s="361">
        <v>1356</v>
      </c>
      <c r="D134" s="361">
        <v>1635</v>
      </c>
      <c r="E134" s="361">
        <v>2991</v>
      </c>
      <c r="F134" s="362">
        <v>4.4272413742062495</v>
      </c>
      <c r="G134" s="361">
        <v>1766</v>
      </c>
      <c r="H134" s="363">
        <v>69.365798414496041</v>
      </c>
    </row>
    <row r="135" spans="2:11">
      <c r="B135" s="360" t="s">
        <v>53</v>
      </c>
      <c r="C135" s="361">
        <v>954</v>
      </c>
      <c r="D135" s="361">
        <v>1216</v>
      </c>
      <c r="E135" s="361">
        <v>2166</v>
      </c>
      <c r="F135" s="362">
        <v>3.2060865317722289</v>
      </c>
      <c r="G135" s="361">
        <v>1194</v>
      </c>
      <c r="H135" s="363">
        <v>81.4070351758794</v>
      </c>
    </row>
    <row r="136" spans="2:11">
      <c r="B136" s="360" t="s">
        <v>54</v>
      </c>
      <c r="C136" s="361">
        <v>922</v>
      </c>
      <c r="D136" s="361">
        <v>1123</v>
      </c>
      <c r="E136" s="361">
        <v>2047</v>
      </c>
      <c r="F136" s="362">
        <v>3.0299441969241703</v>
      </c>
      <c r="G136" s="361">
        <v>1276</v>
      </c>
      <c r="H136" s="363">
        <v>60.423197492163006</v>
      </c>
    </row>
    <row r="137" spans="2:11">
      <c r="B137" s="360" t="s">
        <v>47</v>
      </c>
      <c r="C137" s="361">
        <v>648</v>
      </c>
      <c r="D137" s="361">
        <v>628</v>
      </c>
      <c r="E137" s="361">
        <v>1269</v>
      </c>
      <c r="F137" s="362">
        <v>1.8783581758166936</v>
      </c>
      <c r="G137" s="361">
        <v>605</v>
      </c>
      <c r="H137" s="363">
        <v>109.75206611570248</v>
      </c>
    </row>
    <row r="138" spans="2:11">
      <c r="B138" s="360" t="s">
        <v>148</v>
      </c>
      <c r="C138" s="361">
        <v>644</v>
      </c>
      <c r="D138" s="361">
        <v>574</v>
      </c>
      <c r="E138" s="361">
        <v>1223</v>
      </c>
      <c r="F138" s="362">
        <v>1.8102695421779482</v>
      </c>
      <c r="G138" s="361">
        <v>388</v>
      </c>
      <c r="H138" s="363">
        <v>215.20618556701029</v>
      </c>
    </row>
    <row r="139" spans="2:11">
      <c r="B139" s="360" t="s">
        <v>100</v>
      </c>
      <c r="C139" s="361">
        <v>585</v>
      </c>
      <c r="D139" s="361">
        <v>626</v>
      </c>
      <c r="E139" s="361">
        <v>1220</v>
      </c>
      <c r="F139" s="362">
        <v>1.8058289791145519</v>
      </c>
      <c r="G139" s="361">
        <v>869</v>
      </c>
      <c r="H139" s="363">
        <v>40.391254315304948</v>
      </c>
    </row>
    <row r="140" spans="2:11">
      <c r="B140" s="360" t="s">
        <v>113</v>
      </c>
      <c r="C140" s="361">
        <v>507</v>
      </c>
      <c r="D140" s="361">
        <v>680</v>
      </c>
      <c r="E140" s="361">
        <v>1191</v>
      </c>
      <c r="F140" s="362">
        <v>1.762903536168386</v>
      </c>
      <c r="G140" s="361">
        <v>953</v>
      </c>
      <c r="H140" s="363">
        <v>24.97376705141658</v>
      </c>
    </row>
    <row r="141" spans="2:11">
      <c r="B141" s="360" t="s">
        <v>107</v>
      </c>
      <c r="C141" s="361">
        <v>267</v>
      </c>
      <c r="D141" s="361">
        <v>600</v>
      </c>
      <c r="E141" s="361">
        <v>868</v>
      </c>
      <c r="F141" s="362">
        <v>1.2848029130093697</v>
      </c>
      <c r="G141" s="361">
        <v>706</v>
      </c>
      <c r="H141" s="363">
        <v>22.946175637393768</v>
      </c>
    </row>
    <row r="142" spans="2:11">
      <c r="B142" s="360" t="s">
        <v>96</v>
      </c>
      <c r="C142" s="361">
        <v>494</v>
      </c>
      <c r="D142" s="361">
        <v>361</v>
      </c>
      <c r="E142" s="361">
        <v>852</v>
      </c>
      <c r="F142" s="362">
        <v>1.2611199100045887</v>
      </c>
      <c r="G142" s="361">
        <v>435</v>
      </c>
      <c r="H142" s="363">
        <v>95.862068965517238</v>
      </c>
    </row>
    <row r="143" spans="2:11">
      <c r="B143" s="360" t="s">
        <v>97</v>
      </c>
      <c r="C143" s="361">
        <v>364</v>
      </c>
      <c r="D143" s="361">
        <v>478</v>
      </c>
      <c r="E143" s="361">
        <v>837</v>
      </c>
      <c r="F143" s="362">
        <v>1.2389170946876062</v>
      </c>
      <c r="G143" s="361">
        <v>763</v>
      </c>
      <c r="H143" s="363">
        <v>9.6985583224115341</v>
      </c>
    </row>
    <row r="144" spans="2:11">
      <c r="B144" s="360" t="s">
        <v>98</v>
      </c>
      <c r="C144" s="361">
        <v>404</v>
      </c>
      <c r="D144" s="361">
        <v>363</v>
      </c>
      <c r="E144" s="361">
        <v>769</v>
      </c>
      <c r="F144" s="362">
        <v>1.1382643319172872</v>
      </c>
      <c r="G144" s="361">
        <v>740</v>
      </c>
      <c r="H144" s="363">
        <v>3.9189189189189193</v>
      </c>
    </row>
    <row r="145" spans="2:8">
      <c r="B145" s="360" t="s">
        <v>104</v>
      </c>
      <c r="C145" s="361">
        <v>343</v>
      </c>
      <c r="D145" s="361">
        <v>389</v>
      </c>
      <c r="E145" s="361">
        <v>729</v>
      </c>
      <c r="F145" s="362">
        <v>1.0790568244053345</v>
      </c>
      <c r="G145" s="361">
        <v>670</v>
      </c>
      <c r="H145" s="363">
        <v>8.8059701492537314</v>
      </c>
    </row>
    <row r="146" spans="2:8">
      <c r="B146" s="360" t="s">
        <v>55</v>
      </c>
      <c r="C146" s="361">
        <v>380</v>
      </c>
      <c r="D146" s="361">
        <v>288</v>
      </c>
      <c r="E146" s="361">
        <v>669</v>
      </c>
      <c r="F146" s="362">
        <v>0.99024556313740586</v>
      </c>
      <c r="G146" s="361">
        <v>275</v>
      </c>
      <c r="H146" s="363">
        <v>143.27272727272725</v>
      </c>
    </row>
    <row r="147" spans="2:8">
      <c r="B147" s="360" t="s">
        <v>105</v>
      </c>
      <c r="C147" s="361">
        <v>325</v>
      </c>
      <c r="D147" s="361">
        <v>317</v>
      </c>
      <c r="E147" s="361">
        <v>644</v>
      </c>
      <c r="F147" s="362">
        <v>0.95324087094243548</v>
      </c>
      <c r="G147" s="361">
        <v>427</v>
      </c>
      <c r="H147" s="363">
        <v>50.819672131147541</v>
      </c>
    </row>
    <row r="148" spans="2:8">
      <c r="B148" s="417" t="s">
        <v>127</v>
      </c>
      <c r="C148" s="418">
        <v>6141</v>
      </c>
      <c r="D148" s="418">
        <v>5742</v>
      </c>
      <c r="E148" s="418">
        <v>11880</v>
      </c>
      <c r="F148" s="395">
        <v>17.584629731049898</v>
      </c>
      <c r="G148" s="418">
        <v>6157</v>
      </c>
      <c r="H148" s="419">
        <v>92.951112554815666</v>
      </c>
    </row>
    <row r="149" spans="2:8">
      <c r="B149" s="369" t="s">
        <v>820</v>
      </c>
      <c r="C149" s="370">
        <v>33063</v>
      </c>
      <c r="D149" s="370">
        <v>34491</v>
      </c>
      <c r="E149" s="370">
        <v>67559</v>
      </c>
      <c r="F149" s="372">
        <v>100</v>
      </c>
      <c r="G149" s="370">
        <v>56709</v>
      </c>
      <c r="H149" s="373">
        <v>19.132765522227512</v>
      </c>
    </row>
    <row r="150" spans="2:8">
      <c r="B150" s="389" t="s">
        <v>821</v>
      </c>
    </row>
    <row r="151" spans="2:8">
      <c r="B151" s="375"/>
    </row>
    <row r="152" spans="2:8" ht="23.25">
      <c r="B152" s="335" t="s">
        <v>376</v>
      </c>
    </row>
    <row r="153" spans="2:8" ht="15">
      <c r="B153" s="350" t="s">
        <v>828</v>
      </c>
    </row>
    <row r="154" spans="2:8">
      <c r="B154" s="420" t="s">
        <v>36</v>
      </c>
      <c r="C154" s="145" t="s">
        <v>23</v>
      </c>
      <c r="D154" s="145" t="s">
        <v>24</v>
      </c>
      <c r="E154" s="145" t="s">
        <v>25</v>
      </c>
      <c r="F154" s="145" t="s">
        <v>26</v>
      </c>
      <c r="G154" s="145" t="s">
        <v>27</v>
      </c>
      <c r="H154" s="421" t="s">
        <v>28</v>
      </c>
    </row>
    <row r="155" spans="2:8">
      <c r="B155" s="422" t="s">
        <v>95</v>
      </c>
      <c r="C155" s="186"/>
      <c r="D155" s="186"/>
      <c r="E155" s="186"/>
      <c r="F155" s="186"/>
      <c r="G155" s="186"/>
      <c r="H155" s="423"/>
    </row>
    <row r="156" spans="2:8">
      <c r="B156" s="424" t="s">
        <v>377</v>
      </c>
      <c r="C156" s="238">
        <v>7087</v>
      </c>
      <c r="D156" s="238">
        <v>6016</v>
      </c>
      <c r="E156" s="238">
        <v>9751</v>
      </c>
      <c r="F156" s="238">
        <v>5579</v>
      </c>
      <c r="G156" s="238">
        <v>1050</v>
      </c>
      <c r="H156" s="425">
        <v>29477</v>
      </c>
    </row>
    <row r="157" spans="2:8">
      <c r="B157" s="426" t="s">
        <v>378</v>
      </c>
      <c r="C157" s="241">
        <v>2627</v>
      </c>
      <c r="D157" s="241">
        <v>477</v>
      </c>
      <c r="E157" s="241">
        <v>642</v>
      </c>
      <c r="F157" s="241">
        <v>460</v>
      </c>
      <c r="G157" s="241">
        <v>324</v>
      </c>
      <c r="H157" s="427">
        <v>4527</v>
      </c>
    </row>
    <row r="158" spans="2:8">
      <c r="B158" s="424" t="s">
        <v>379</v>
      </c>
      <c r="C158" s="238">
        <v>10136</v>
      </c>
      <c r="D158" s="238">
        <v>6632</v>
      </c>
      <c r="E158" s="238">
        <v>10634</v>
      </c>
      <c r="F158" s="238">
        <v>6154</v>
      </c>
      <c r="G158" s="238">
        <v>1404</v>
      </c>
      <c r="H158" s="425">
        <v>34962</v>
      </c>
    </row>
    <row r="159" spans="2:8">
      <c r="B159" s="428" t="s">
        <v>380</v>
      </c>
      <c r="C159" s="96">
        <v>0.259175217048145</v>
      </c>
      <c r="D159" s="96">
        <v>7.1924004825090496E-2</v>
      </c>
      <c r="E159" s="96">
        <v>6.0372390445740103E-2</v>
      </c>
      <c r="F159" s="96">
        <v>7.4748131296717604E-2</v>
      </c>
      <c r="G159" s="96">
        <v>0.230769230769231</v>
      </c>
      <c r="H159" s="429">
        <v>0.129483439162519</v>
      </c>
    </row>
    <row r="160" spans="2:8">
      <c r="B160" s="430" t="s">
        <v>112</v>
      </c>
      <c r="C160" s="196"/>
      <c r="D160" s="196"/>
      <c r="E160" s="196"/>
      <c r="F160" s="196"/>
      <c r="G160" s="196"/>
      <c r="H160" s="431"/>
    </row>
    <row r="161" spans="2:8">
      <c r="B161" s="426" t="s">
        <v>377</v>
      </c>
      <c r="C161" s="241">
        <v>508</v>
      </c>
      <c r="D161" s="241">
        <v>371</v>
      </c>
      <c r="E161" s="241">
        <v>933</v>
      </c>
      <c r="F161" s="241">
        <v>648</v>
      </c>
      <c r="G161" s="241">
        <v>222</v>
      </c>
      <c r="H161" s="427">
        <v>2682</v>
      </c>
    </row>
    <row r="162" spans="2:8">
      <c r="B162" s="424" t="s">
        <v>378</v>
      </c>
      <c r="C162" s="238">
        <v>87</v>
      </c>
      <c r="D162" s="238">
        <v>11</v>
      </c>
      <c r="E162" s="238">
        <v>112</v>
      </c>
      <c r="F162" s="238">
        <v>126</v>
      </c>
      <c r="G162" s="238">
        <v>183</v>
      </c>
      <c r="H162" s="425">
        <v>519</v>
      </c>
    </row>
    <row r="163" spans="2:8">
      <c r="B163" s="426" t="s">
        <v>379</v>
      </c>
      <c r="C163" s="241">
        <v>611</v>
      </c>
      <c r="D163" s="241">
        <v>388</v>
      </c>
      <c r="E163" s="241">
        <v>1067</v>
      </c>
      <c r="F163" s="241">
        <v>780</v>
      </c>
      <c r="G163" s="241">
        <v>406</v>
      </c>
      <c r="H163" s="427">
        <v>3242</v>
      </c>
    </row>
    <row r="164" spans="2:8">
      <c r="B164" s="432" t="s">
        <v>380</v>
      </c>
      <c r="C164" s="98">
        <v>0.142389525368249</v>
      </c>
      <c r="D164" s="98">
        <v>2.8350515463917501E-2</v>
      </c>
      <c r="E164" s="98">
        <v>0.104967197750703</v>
      </c>
      <c r="F164" s="98">
        <v>0.16153846153846199</v>
      </c>
      <c r="G164" s="98">
        <v>0.45073891625615797</v>
      </c>
      <c r="H164" s="433">
        <v>0.160086366440469</v>
      </c>
    </row>
    <row r="165" spans="2:8">
      <c r="B165" s="422" t="s">
        <v>52</v>
      </c>
      <c r="C165" s="186"/>
      <c r="D165" s="186"/>
      <c r="E165" s="186"/>
      <c r="F165" s="186"/>
      <c r="G165" s="186"/>
      <c r="H165" s="427"/>
    </row>
    <row r="166" spans="2:8">
      <c r="B166" s="424" t="s">
        <v>377</v>
      </c>
      <c r="C166" s="238">
        <v>459</v>
      </c>
      <c r="D166" s="238">
        <v>416</v>
      </c>
      <c r="E166" s="238">
        <v>1252</v>
      </c>
      <c r="F166" s="239">
        <v>617</v>
      </c>
      <c r="G166" s="434">
        <v>93</v>
      </c>
      <c r="H166" s="425">
        <v>2840</v>
      </c>
    </row>
    <row r="167" spans="2:8">
      <c r="B167" s="426" t="s">
        <v>378</v>
      </c>
      <c r="C167" s="241">
        <v>42</v>
      </c>
      <c r="D167" s="241">
        <v>5</v>
      </c>
      <c r="E167" s="241">
        <v>20</v>
      </c>
      <c r="F167" s="242">
        <v>24</v>
      </c>
      <c r="G167" s="241">
        <v>12</v>
      </c>
      <c r="H167" s="427">
        <v>109</v>
      </c>
    </row>
    <row r="168" spans="2:8">
      <c r="B168" s="424" t="s">
        <v>379</v>
      </c>
      <c r="C168" s="238">
        <v>506</v>
      </c>
      <c r="D168" s="238">
        <v>425</v>
      </c>
      <c r="E168" s="238">
        <v>1291</v>
      </c>
      <c r="F168" s="238">
        <v>651</v>
      </c>
      <c r="G168" s="435">
        <v>116</v>
      </c>
      <c r="H168" s="425">
        <v>2991</v>
      </c>
    </row>
    <row r="169" spans="2:8">
      <c r="B169" s="428" t="s">
        <v>380</v>
      </c>
      <c r="C169" s="96">
        <v>8.3003952569169995E-2</v>
      </c>
      <c r="D169" s="96">
        <v>1.1764705882352899E-2</v>
      </c>
      <c r="E169" s="96">
        <v>1.54918667699458E-2</v>
      </c>
      <c r="F169" s="96">
        <v>3.6866359447004601E-2</v>
      </c>
      <c r="G169" s="96">
        <v>0.10344827586206901</v>
      </c>
      <c r="H169" s="429">
        <v>3.6442661317285199E-2</v>
      </c>
    </row>
    <row r="170" spans="2:8">
      <c r="B170" s="430" t="s">
        <v>53</v>
      </c>
      <c r="C170" s="196"/>
      <c r="D170" s="196"/>
      <c r="E170" s="196"/>
      <c r="F170" s="196"/>
      <c r="G170" s="196"/>
      <c r="H170" s="431"/>
    </row>
    <row r="171" spans="2:8">
      <c r="B171" s="426" t="s">
        <v>377</v>
      </c>
      <c r="C171" s="241">
        <v>214</v>
      </c>
      <c r="D171" s="241">
        <v>202</v>
      </c>
      <c r="E171" s="241">
        <v>883</v>
      </c>
      <c r="F171" s="241">
        <v>220</v>
      </c>
      <c r="G171" s="241">
        <v>37</v>
      </c>
      <c r="H171" s="427">
        <v>1558</v>
      </c>
    </row>
    <row r="172" spans="2:8">
      <c r="B172" s="424" t="s">
        <v>378</v>
      </c>
      <c r="C172" s="238">
        <v>98</v>
      </c>
      <c r="D172" s="238">
        <v>40</v>
      </c>
      <c r="E172" s="238">
        <v>280</v>
      </c>
      <c r="F172" s="238">
        <v>142</v>
      </c>
      <c r="G172" s="238">
        <v>36</v>
      </c>
      <c r="H172" s="425">
        <v>589</v>
      </c>
    </row>
    <row r="173" spans="2:8">
      <c r="B173" s="426" t="s">
        <v>379</v>
      </c>
      <c r="C173" s="241">
        <v>319</v>
      </c>
      <c r="D173" s="241">
        <v>244</v>
      </c>
      <c r="E173" s="241">
        <v>1166</v>
      </c>
      <c r="F173" s="241">
        <v>367</v>
      </c>
      <c r="G173" s="241">
        <v>79</v>
      </c>
      <c r="H173" s="427">
        <v>2166</v>
      </c>
    </row>
    <row r="174" spans="2:8">
      <c r="B174" s="432" t="s">
        <v>380</v>
      </c>
      <c r="C174" s="98">
        <v>0.30721003134796199</v>
      </c>
      <c r="D174" s="98">
        <v>0.16393442622950799</v>
      </c>
      <c r="E174" s="98">
        <v>0.24013722126929701</v>
      </c>
      <c r="F174" s="98">
        <v>0.38692098092643101</v>
      </c>
      <c r="G174" s="98">
        <v>0.455696202531646</v>
      </c>
      <c r="H174" s="436">
        <v>0.27192982456140402</v>
      </c>
    </row>
    <row r="175" spans="2:8">
      <c r="B175" s="422" t="s">
        <v>54</v>
      </c>
      <c r="C175" s="186"/>
      <c r="D175" s="186"/>
      <c r="E175" s="186"/>
      <c r="F175" s="186"/>
      <c r="G175" s="186"/>
      <c r="H175" s="423"/>
    </row>
    <row r="176" spans="2:8">
      <c r="B176" s="424" t="s">
        <v>377</v>
      </c>
      <c r="C176" s="238">
        <v>257</v>
      </c>
      <c r="D176" s="238">
        <v>245</v>
      </c>
      <c r="E176" s="238">
        <v>911</v>
      </c>
      <c r="F176" s="238">
        <v>479</v>
      </c>
      <c r="G176" s="238">
        <v>64</v>
      </c>
      <c r="H176" s="425">
        <v>1955</v>
      </c>
    </row>
    <row r="177" spans="2:10">
      <c r="B177" s="426" t="s">
        <v>378</v>
      </c>
      <c r="C177" s="241">
        <v>30</v>
      </c>
      <c r="D177" s="241">
        <v>4</v>
      </c>
      <c r="E177" s="241">
        <v>9</v>
      </c>
      <c r="F177" s="241">
        <v>14</v>
      </c>
      <c r="G177" s="241">
        <v>9</v>
      </c>
      <c r="H177" s="427">
        <v>60</v>
      </c>
    </row>
    <row r="178" spans="2:10">
      <c r="B178" s="424" t="s">
        <v>379</v>
      </c>
      <c r="C178" s="238">
        <v>290</v>
      </c>
      <c r="D178" s="238">
        <v>248</v>
      </c>
      <c r="E178" s="238">
        <v>927</v>
      </c>
      <c r="F178" s="238">
        <v>496</v>
      </c>
      <c r="G178" s="238">
        <v>78</v>
      </c>
      <c r="H178" s="425">
        <v>2047</v>
      </c>
    </row>
    <row r="179" spans="2:10">
      <c r="B179" s="428" t="s">
        <v>380</v>
      </c>
      <c r="C179" s="96">
        <v>0.10344827586206901</v>
      </c>
      <c r="D179" s="96">
        <v>1.6129032258064498E-2</v>
      </c>
      <c r="E179" s="96">
        <v>9.7087378640776708E-3</v>
      </c>
      <c r="F179" s="96">
        <v>2.8225806451612899E-2</v>
      </c>
      <c r="G179" s="96">
        <v>0.115384615384615</v>
      </c>
      <c r="H179" s="429">
        <v>2.9311187103077702E-2</v>
      </c>
    </row>
    <row r="180" spans="2:10">
      <c r="B180" s="430" t="s">
        <v>822</v>
      </c>
      <c r="C180" s="196"/>
      <c r="D180" s="196"/>
      <c r="E180" s="196"/>
      <c r="F180" s="196"/>
      <c r="G180" s="196"/>
      <c r="H180" s="431"/>
    </row>
    <row r="181" spans="2:10">
      <c r="B181" s="426" t="s">
        <v>377</v>
      </c>
      <c r="C181" s="241">
        <v>11375</v>
      </c>
      <c r="D181" s="241">
        <v>9401</v>
      </c>
      <c r="E181" s="241">
        <v>23032</v>
      </c>
      <c r="F181" s="241">
        <v>11174</v>
      </c>
      <c r="G181" s="241">
        <v>2585</v>
      </c>
      <c r="H181" s="427">
        <v>57572</v>
      </c>
    </row>
    <row r="182" spans="2:10">
      <c r="B182" s="424" t="s">
        <v>378</v>
      </c>
      <c r="C182" s="238">
        <v>3852</v>
      </c>
      <c r="D182" s="238">
        <v>694</v>
      </c>
      <c r="E182" s="238">
        <v>1757</v>
      </c>
      <c r="F182" s="238">
        <v>1367</v>
      </c>
      <c r="G182" s="238">
        <v>907</v>
      </c>
      <c r="H182" s="425">
        <v>8592</v>
      </c>
    </row>
    <row r="183" spans="2:10">
      <c r="B183" s="426" t="s">
        <v>379</v>
      </c>
      <c r="C183" s="241">
        <v>15820</v>
      </c>
      <c r="D183" s="241">
        <v>10271</v>
      </c>
      <c r="E183" s="241">
        <v>25175</v>
      </c>
      <c r="F183" s="241">
        <v>12737</v>
      </c>
      <c r="G183" s="241">
        <v>3548</v>
      </c>
      <c r="H183" s="427">
        <v>67556</v>
      </c>
    </row>
    <row r="184" spans="2:10">
      <c r="B184" s="437" t="s">
        <v>380</v>
      </c>
      <c r="C184" s="438">
        <v>0.24348925410872299</v>
      </c>
      <c r="D184" s="438">
        <v>6.7568883263557603E-2</v>
      </c>
      <c r="E184" s="438">
        <v>6.97914597815293E-2</v>
      </c>
      <c r="F184" s="438">
        <v>0.10732511580435</v>
      </c>
      <c r="G184" s="438">
        <v>0.25563697857948098</v>
      </c>
      <c r="H184" s="439">
        <v>0.12718337379359301</v>
      </c>
    </row>
    <row r="185" spans="2:10">
      <c r="B185" s="389" t="s">
        <v>821</v>
      </c>
    </row>
    <row r="186" spans="2:10">
      <c r="B186" s="389"/>
    </row>
    <row r="187" spans="2:10" ht="23.25">
      <c r="B187" s="335" t="s">
        <v>381</v>
      </c>
    </row>
    <row r="188" spans="2:10" ht="15">
      <c r="B188" s="350" t="s">
        <v>829</v>
      </c>
      <c r="C188" s="440"/>
      <c r="D188" s="440"/>
      <c r="E188" s="440"/>
      <c r="F188" s="440"/>
      <c r="G188" s="440"/>
      <c r="H188" s="440"/>
      <c r="I188" s="440"/>
      <c r="J188" s="440"/>
    </row>
    <row r="189" spans="2:10" ht="30">
      <c r="B189" s="441"/>
      <c r="C189" s="442" t="s">
        <v>2</v>
      </c>
      <c r="D189" s="443"/>
      <c r="E189" s="442"/>
      <c r="F189" s="442"/>
      <c r="G189" s="444" t="s">
        <v>10</v>
      </c>
      <c r="H189" s="444" t="s">
        <v>3</v>
      </c>
      <c r="I189" s="444" t="s">
        <v>28</v>
      </c>
      <c r="J189" s="445" t="s">
        <v>382</v>
      </c>
    </row>
    <row r="190" spans="2:10" ht="51">
      <c r="B190" s="446" t="s">
        <v>823</v>
      </c>
      <c r="C190" s="447" t="s">
        <v>61</v>
      </c>
      <c r="D190" s="447" t="s">
        <v>60</v>
      </c>
      <c r="E190" s="448" t="s">
        <v>59</v>
      </c>
      <c r="F190" s="447" t="s">
        <v>841</v>
      </c>
      <c r="G190" s="446" t="s">
        <v>122</v>
      </c>
      <c r="H190" s="446" t="s">
        <v>639</v>
      </c>
      <c r="I190" s="446" t="s">
        <v>640</v>
      </c>
      <c r="J190" s="446" t="s">
        <v>641</v>
      </c>
    </row>
    <row r="191" spans="2:10">
      <c r="B191" s="378" t="s">
        <v>116</v>
      </c>
      <c r="C191" s="357">
        <v>50101</v>
      </c>
      <c r="D191" s="357">
        <v>958</v>
      </c>
      <c r="E191" s="357">
        <v>10405</v>
      </c>
      <c r="F191" s="357">
        <v>1018</v>
      </c>
      <c r="G191" s="357">
        <v>1580</v>
      </c>
      <c r="H191" s="357">
        <v>1375</v>
      </c>
      <c r="I191" s="416">
        <v>65437</v>
      </c>
      <c r="J191" s="358">
        <v>28.595338186839598</v>
      </c>
    </row>
    <row r="192" spans="2:10">
      <c r="B192" s="381" t="s">
        <v>115</v>
      </c>
      <c r="C192" s="361">
        <v>32689</v>
      </c>
      <c r="D192" s="361">
        <v>2912</v>
      </c>
      <c r="E192" s="361">
        <v>8073</v>
      </c>
      <c r="F192" s="361">
        <v>570</v>
      </c>
      <c r="G192" s="361">
        <v>9722</v>
      </c>
      <c r="H192" s="361">
        <v>994</v>
      </c>
      <c r="I192" s="449">
        <v>54960</v>
      </c>
      <c r="J192" s="362">
        <v>24.016990185196516</v>
      </c>
    </row>
    <row r="193" spans="2:11">
      <c r="B193" s="381" t="s">
        <v>118</v>
      </c>
      <c r="C193" s="361">
        <v>36575</v>
      </c>
      <c r="D193" s="361">
        <v>10</v>
      </c>
      <c r="E193" s="361">
        <v>255</v>
      </c>
      <c r="F193" s="361">
        <v>463</v>
      </c>
      <c r="G193" s="361">
        <v>15</v>
      </c>
      <c r="H193" s="361">
        <v>232</v>
      </c>
      <c r="I193" s="449">
        <v>37550</v>
      </c>
      <c r="J193" s="362">
        <v>16.408988017724329</v>
      </c>
    </row>
    <row r="194" spans="2:11">
      <c r="B194" s="381" t="s">
        <v>117</v>
      </c>
      <c r="C194" s="361">
        <v>12364</v>
      </c>
      <c r="D194" s="361">
        <v>600</v>
      </c>
      <c r="E194" s="361">
        <v>2068</v>
      </c>
      <c r="F194" s="361">
        <v>175</v>
      </c>
      <c r="G194" s="361">
        <v>2978</v>
      </c>
      <c r="H194" s="361">
        <v>285</v>
      </c>
      <c r="I194" s="449">
        <v>18470</v>
      </c>
      <c r="J194" s="362">
        <v>8.0712119490644039</v>
      </c>
    </row>
    <row r="195" spans="2:11">
      <c r="B195" s="381" t="s">
        <v>119</v>
      </c>
      <c r="C195" s="361">
        <v>9380</v>
      </c>
      <c r="D195" s="361">
        <v>683</v>
      </c>
      <c r="E195" s="361">
        <v>1959</v>
      </c>
      <c r="F195" s="361">
        <v>146</v>
      </c>
      <c r="G195" s="361">
        <v>2586</v>
      </c>
      <c r="H195" s="361">
        <v>216</v>
      </c>
      <c r="I195" s="449">
        <v>14970</v>
      </c>
      <c r="J195" s="362">
        <v>6.5417456890900993</v>
      </c>
    </row>
    <row r="196" spans="2:11">
      <c r="B196" s="381" t="s">
        <v>97</v>
      </c>
      <c r="C196" s="361">
        <v>5256</v>
      </c>
      <c r="D196" s="361">
        <v>564</v>
      </c>
      <c r="E196" s="361">
        <v>1123</v>
      </c>
      <c r="F196" s="361">
        <v>95</v>
      </c>
      <c r="G196" s="361">
        <v>1562</v>
      </c>
      <c r="H196" s="361">
        <v>135</v>
      </c>
      <c r="I196" s="449">
        <v>8735</v>
      </c>
      <c r="J196" s="362">
        <v>3.8171107945358727</v>
      </c>
    </row>
    <row r="197" spans="2:11">
      <c r="B197" s="381" t="s">
        <v>54</v>
      </c>
      <c r="C197" s="361">
        <v>162</v>
      </c>
      <c r="D197" s="361">
        <v>743</v>
      </c>
      <c r="E197" s="361">
        <v>536</v>
      </c>
      <c r="F197" s="361">
        <v>8</v>
      </c>
      <c r="G197" s="361">
        <v>5399</v>
      </c>
      <c r="H197" s="361">
        <v>101</v>
      </c>
      <c r="I197" s="449">
        <v>6949</v>
      </c>
      <c r="J197" s="362">
        <v>3.0366460115889846</v>
      </c>
    </row>
    <row r="198" spans="2:11">
      <c r="B198" s="381" t="s">
        <v>121</v>
      </c>
      <c r="C198" s="361">
        <v>987</v>
      </c>
      <c r="D198" s="361">
        <v>955</v>
      </c>
      <c r="E198" s="361">
        <v>519</v>
      </c>
      <c r="F198" s="361">
        <v>18</v>
      </c>
      <c r="G198" s="361">
        <v>3674</v>
      </c>
      <c r="H198" s="361">
        <v>81</v>
      </c>
      <c r="I198" s="449">
        <v>6234</v>
      </c>
      <c r="J198" s="362">
        <v>2.7241979041942335</v>
      </c>
    </row>
    <row r="199" spans="2:11">
      <c r="B199" s="381" t="s">
        <v>120</v>
      </c>
      <c r="C199" s="361">
        <v>74</v>
      </c>
      <c r="D199" s="361">
        <v>645</v>
      </c>
      <c r="E199" s="361">
        <v>118</v>
      </c>
      <c r="F199" s="450" t="s">
        <v>94</v>
      </c>
      <c r="G199" s="361">
        <v>3652</v>
      </c>
      <c r="H199" s="361">
        <v>44</v>
      </c>
      <c r="I199" s="449">
        <v>4533</v>
      </c>
      <c r="J199" s="362">
        <v>1.9808773018467212</v>
      </c>
    </row>
    <row r="200" spans="2:11">
      <c r="B200" s="381" t="s">
        <v>98</v>
      </c>
      <c r="C200" s="361">
        <v>1934</v>
      </c>
      <c r="D200" s="361">
        <v>581</v>
      </c>
      <c r="E200" s="361">
        <v>722</v>
      </c>
      <c r="F200" s="361">
        <v>36</v>
      </c>
      <c r="G200" s="361">
        <v>819</v>
      </c>
      <c r="H200" s="361">
        <v>57</v>
      </c>
      <c r="I200" s="449">
        <v>4149</v>
      </c>
      <c r="J200" s="362">
        <v>1.8130730036095402</v>
      </c>
    </row>
    <row r="201" spans="2:11">
      <c r="B201" s="389" t="s">
        <v>878</v>
      </c>
    </row>
    <row r="203" spans="2:11" ht="23.25">
      <c r="B203" s="335" t="s">
        <v>383</v>
      </c>
    </row>
    <row r="204" spans="2:11" ht="15">
      <c r="B204" s="451" t="s">
        <v>384</v>
      </c>
      <c r="C204" s="452"/>
      <c r="D204" s="452"/>
      <c r="E204" s="350"/>
      <c r="F204" s="350"/>
      <c r="G204" s="350"/>
      <c r="H204" s="350"/>
      <c r="I204" s="350"/>
      <c r="J204" s="350"/>
      <c r="K204" s="350"/>
    </row>
    <row r="205" spans="2:11" ht="28.5">
      <c r="B205" s="453" t="s">
        <v>64</v>
      </c>
      <c r="C205" s="454" t="s">
        <v>37</v>
      </c>
      <c r="D205" s="454" t="s">
        <v>38</v>
      </c>
      <c r="E205" s="454" t="s">
        <v>6</v>
      </c>
      <c r="F205" s="454" t="s">
        <v>1</v>
      </c>
      <c r="G205" s="454" t="s">
        <v>7</v>
      </c>
      <c r="H205" s="454" t="s">
        <v>65</v>
      </c>
      <c r="I205" s="454" t="s">
        <v>8</v>
      </c>
    </row>
    <row r="206" spans="2:11">
      <c r="B206" s="455" t="s">
        <v>149</v>
      </c>
      <c r="C206" s="357">
        <v>36389</v>
      </c>
      <c r="D206" s="357">
        <v>30780</v>
      </c>
      <c r="E206" s="357">
        <v>67180</v>
      </c>
      <c r="F206" s="456">
        <v>29.357012384306802</v>
      </c>
      <c r="G206" s="357">
        <v>50639</v>
      </c>
      <c r="H206" s="457">
        <v>16541</v>
      </c>
      <c r="I206" s="458">
        <v>32.664547088212643</v>
      </c>
    </row>
    <row r="207" spans="2:11">
      <c r="B207" s="459" t="s">
        <v>150</v>
      </c>
      <c r="C207" s="361">
        <v>22689</v>
      </c>
      <c r="D207" s="361">
        <v>23160</v>
      </c>
      <c r="E207" s="361">
        <v>45845</v>
      </c>
      <c r="F207" s="456">
        <v>20.033823053863429</v>
      </c>
      <c r="G207" s="361">
        <v>45763</v>
      </c>
      <c r="H207" s="460">
        <v>82</v>
      </c>
      <c r="I207" s="461">
        <v>0.17918405698927081</v>
      </c>
    </row>
    <row r="208" spans="2:11">
      <c r="B208" s="459" t="s">
        <v>151</v>
      </c>
      <c r="C208" s="361">
        <v>9561</v>
      </c>
      <c r="D208" s="361">
        <v>9673</v>
      </c>
      <c r="E208" s="361">
        <v>19238</v>
      </c>
      <c r="F208" s="456">
        <v>8.4068205455387659</v>
      </c>
      <c r="G208" s="361">
        <v>24145</v>
      </c>
      <c r="H208" s="460">
        <v>-4907</v>
      </c>
      <c r="I208" s="461">
        <v>-20.323048250155313</v>
      </c>
    </row>
    <row r="209" spans="2:9">
      <c r="B209" s="459" t="s">
        <v>153</v>
      </c>
      <c r="C209" s="361">
        <v>6351</v>
      </c>
      <c r="D209" s="361">
        <v>6628</v>
      </c>
      <c r="E209" s="361">
        <v>12980</v>
      </c>
      <c r="F209" s="456">
        <v>5.6721348727047083</v>
      </c>
      <c r="G209" s="361">
        <v>14702</v>
      </c>
      <c r="H209" s="460">
        <v>-1722</v>
      </c>
      <c r="I209" s="461">
        <v>-11.712692150727792</v>
      </c>
    </row>
    <row r="210" spans="2:9">
      <c r="B210" s="459" t="s">
        <v>152</v>
      </c>
      <c r="C210" s="361">
        <v>2795</v>
      </c>
      <c r="D210" s="361">
        <v>3210</v>
      </c>
      <c r="E210" s="361">
        <v>6008</v>
      </c>
      <c r="F210" s="456">
        <v>2.6254380828358928</v>
      </c>
      <c r="G210" s="361">
        <v>7903</v>
      </c>
      <c r="H210" s="460">
        <v>-1895</v>
      </c>
      <c r="I210" s="461">
        <v>-23.97823611286853</v>
      </c>
    </row>
    <row r="211" spans="2:9">
      <c r="B211" s="459" t="s">
        <v>154</v>
      </c>
      <c r="C211" s="361">
        <v>2429</v>
      </c>
      <c r="D211" s="361">
        <v>2670</v>
      </c>
      <c r="E211" s="361">
        <v>5099</v>
      </c>
      <c r="F211" s="456">
        <v>2.228213845602566</v>
      </c>
      <c r="G211" s="361">
        <v>5648</v>
      </c>
      <c r="H211" s="460">
        <v>-549</v>
      </c>
      <c r="I211" s="461">
        <v>-9.7202549575070822</v>
      </c>
    </row>
    <row r="212" spans="2:9">
      <c r="B212" s="459" t="s">
        <v>156</v>
      </c>
      <c r="C212" s="361">
        <v>1966</v>
      </c>
      <c r="D212" s="361">
        <v>2589</v>
      </c>
      <c r="E212" s="361">
        <v>4555</v>
      </c>
      <c r="F212" s="456">
        <v>1.9904910897665595</v>
      </c>
      <c r="G212" s="361">
        <v>3686</v>
      </c>
      <c r="H212" s="460">
        <v>869</v>
      </c>
      <c r="I212" s="461">
        <v>23.57569180683668</v>
      </c>
    </row>
    <row r="213" spans="2:9">
      <c r="B213" s="459" t="s">
        <v>166</v>
      </c>
      <c r="C213" s="361">
        <v>2229</v>
      </c>
      <c r="D213" s="361">
        <v>1975</v>
      </c>
      <c r="E213" s="361">
        <v>4206</v>
      </c>
      <c r="F213" s="456">
        <v>1.8379814541291217</v>
      </c>
      <c r="G213" s="361">
        <v>3771</v>
      </c>
      <c r="H213" s="460">
        <v>435</v>
      </c>
      <c r="I213" s="461">
        <v>11.535401750198886</v>
      </c>
    </row>
    <row r="214" spans="2:9">
      <c r="B214" s="459" t="s">
        <v>158</v>
      </c>
      <c r="C214" s="361">
        <v>1936</v>
      </c>
      <c r="D214" s="361">
        <v>1631</v>
      </c>
      <c r="E214" s="361">
        <v>3567</v>
      </c>
      <c r="F214" s="456">
        <v>1.558744614093813</v>
      </c>
      <c r="G214" s="361">
        <v>1638</v>
      </c>
      <c r="H214" s="460">
        <v>1929</v>
      </c>
      <c r="I214" s="461">
        <v>117.76556776556777</v>
      </c>
    </row>
    <row r="215" spans="2:9">
      <c r="B215" s="459" t="s">
        <v>164</v>
      </c>
      <c r="C215" s="361">
        <v>1585</v>
      </c>
      <c r="D215" s="361">
        <v>1520</v>
      </c>
      <c r="E215" s="361">
        <v>3106</v>
      </c>
      <c r="F215" s="456">
        <v>1.3572920581371974</v>
      </c>
      <c r="G215" s="361">
        <v>2719</v>
      </c>
      <c r="H215" s="460">
        <v>387</v>
      </c>
      <c r="I215" s="461">
        <v>14.23317396101508</v>
      </c>
    </row>
    <row r="216" spans="2:9">
      <c r="B216" s="459" t="s">
        <v>155</v>
      </c>
      <c r="C216" s="361">
        <v>1286</v>
      </c>
      <c r="D216" s="361">
        <v>1513</v>
      </c>
      <c r="E216" s="361">
        <v>2800</v>
      </c>
      <c r="F216" s="456">
        <v>1.223573007979444</v>
      </c>
      <c r="G216" s="361">
        <v>2318</v>
      </c>
      <c r="H216" s="460">
        <v>482</v>
      </c>
      <c r="I216" s="461">
        <v>20.793787748058669</v>
      </c>
    </row>
    <row r="217" spans="2:9">
      <c r="B217" s="459" t="s">
        <v>162</v>
      </c>
      <c r="C217" s="361">
        <v>1225</v>
      </c>
      <c r="D217" s="361">
        <v>1340</v>
      </c>
      <c r="E217" s="361">
        <v>2571</v>
      </c>
      <c r="F217" s="456">
        <v>1.1235022155411252</v>
      </c>
      <c r="G217" s="361">
        <v>2321</v>
      </c>
      <c r="H217" s="460">
        <v>250</v>
      </c>
      <c r="I217" s="461">
        <v>10.77121930202499</v>
      </c>
    </row>
    <row r="218" spans="2:9">
      <c r="B218" s="459" t="s">
        <v>157</v>
      </c>
      <c r="C218" s="361">
        <v>1313</v>
      </c>
      <c r="D218" s="361">
        <v>1244</v>
      </c>
      <c r="E218" s="361">
        <v>2553</v>
      </c>
      <c r="F218" s="456">
        <v>1.1156363890612573</v>
      </c>
      <c r="G218" s="361">
        <v>3172</v>
      </c>
      <c r="H218" s="460">
        <v>-619</v>
      </c>
      <c r="I218" s="461">
        <v>-19.514501891551074</v>
      </c>
    </row>
    <row r="219" spans="2:9">
      <c r="B219" s="459" t="s">
        <v>161</v>
      </c>
      <c r="C219" s="361">
        <v>1321</v>
      </c>
      <c r="D219" s="361">
        <v>1017</v>
      </c>
      <c r="E219" s="361">
        <v>2332</v>
      </c>
      <c r="F219" s="456">
        <v>1.0190615195028796</v>
      </c>
      <c r="G219" s="361">
        <v>1587</v>
      </c>
      <c r="H219" s="460">
        <v>745</v>
      </c>
      <c r="I219" s="461">
        <v>46.943919344675486</v>
      </c>
    </row>
    <row r="220" spans="2:9">
      <c r="B220" s="459" t="s">
        <v>160</v>
      </c>
      <c r="C220" s="361">
        <v>352</v>
      </c>
      <c r="D220" s="361">
        <v>281</v>
      </c>
      <c r="E220" s="361">
        <v>633</v>
      </c>
      <c r="F220" s="456">
        <v>0.27661489787535287</v>
      </c>
      <c r="G220" s="361">
        <v>244</v>
      </c>
      <c r="H220" s="460">
        <v>389</v>
      </c>
      <c r="I220" s="461">
        <v>159.42622950819671</v>
      </c>
    </row>
    <row r="221" spans="2:9">
      <c r="B221" s="459" t="s">
        <v>163</v>
      </c>
      <c r="C221" s="361">
        <v>279</v>
      </c>
      <c r="D221" s="361">
        <v>349</v>
      </c>
      <c r="E221" s="361">
        <v>623</v>
      </c>
      <c r="F221" s="456">
        <v>0.27224499427542626</v>
      </c>
      <c r="G221" s="361">
        <v>490</v>
      </c>
      <c r="H221" s="460">
        <v>133</v>
      </c>
      <c r="I221" s="461">
        <v>27.142857142857142</v>
      </c>
    </row>
    <row r="222" spans="2:9">
      <c r="B222" s="459" t="s">
        <v>159</v>
      </c>
      <c r="C222" s="361">
        <v>302</v>
      </c>
      <c r="D222" s="361">
        <v>310</v>
      </c>
      <c r="E222" s="361">
        <v>614</v>
      </c>
      <c r="F222" s="456">
        <v>0.26831208103549237</v>
      </c>
      <c r="G222" s="361">
        <v>534</v>
      </c>
      <c r="H222" s="460">
        <v>80</v>
      </c>
      <c r="I222" s="461">
        <v>14.981273408239701</v>
      </c>
    </row>
    <row r="223" spans="2:9">
      <c r="B223" s="459" t="s">
        <v>168</v>
      </c>
      <c r="C223" s="361">
        <v>238</v>
      </c>
      <c r="D223" s="361">
        <v>298</v>
      </c>
      <c r="E223" s="361">
        <v>542</v>
      </c>
      <c r="F223" s="456">
        <v>0.23684877511602093</v>
      </c>
      <c r="G223" s="361">
        <v>661</v>
      </c>
      <c r="H223" s="460">
        <v>-119</v>
      </c>
      <c r="I223" s="461">
        <v>-18.003025718608171</v>
      </c>
    </row>
    <row r="224" spans="2:9">
      <c r="B224" s="459" t="s">
        <v>167</v>
      </c>
      <c r="C224" s="361">
        <v>155</v>
      </c>
      <c r="D224" s="361">
        <v>186</v>
      </c>
      <c r="E224" s="361">
        <v>337</v>
      </c>
      <c r="F224" s="456">
        <v>0.14726575131752592</v>
      </c>
      <c r="G224" s="361">
        <v>485</v>
      </c>
      <c r="H224" s="460">
        <v>-148</v>
      </c>
      <c r="I224" s="461">
        <v>-30.515463917525775</v>
      </c>
    </row>
    <row r="225" spans="2:11">
      <c r="B225" s="459" t="s">
        <v>385</v>
      </c>
      <c r="C225" s="361">
        <v>326</v>
      </c>
      <c r="D225" s="361">
        <v>237</v>
      </c>
      <c r="E225" s="361">
        <v>559</v>
      </c>
      <c r="F225" s="456">
        <v>0.24427761123589614</v>
      </c>
      <c r="G225" s="462" t="s">
        <v>94</v>
      </c>
      <c r="H225" s="463" t="s">
        <v>94</v>
      </c>
      <c r="I225" s="464" t="s">
        <v>94</v>
      </c>
    </row>
    <row r="226" spans="2:11">
      <c r="B226" s="465" t="s">
        <v>386</v>
      </c>
      <c r="C226" s="466">
        <v>19624</v>
      </c>
      <c r="D226" s="466">
        <v>15713</v>
      </c>
      <c r="E226" s="466">
        <v>35337</v>
      </c>
      <c r="F226" s="467">
        <v>15.441928351060575</v>
      </c>
      <c r="G226" s="466">
        <v>30840</v>
      </c>
      <c r="H226" s="468">
        <v>4497</v>
      </c>
      <c r="I226" s="469">
        <v>14.581712062256811</v>
      </c>
      <c r="J226" s="470"/>
      <c r="K226" s="470"/>
    </row>
    <row r="227" spans="2:11">
      <c r="B227" s="386" t="s">
        <v>72</v>
      </c>
      <c r="C227" s="400">
        <v>118568</v>
      </c>
      <c r="D227" s="400">
        <v>110269</v>
      </c>
      <c r="E227" s="400">
        <v>228838</v>
      </c>
      <c r="F227" s="471">
        <v>100</v>
      </c>
      <c r="G227" s="472">
        <v>211929</v>
      </c>
      <c r="H227" s="473">
        <v>16909</v>
      </c>
      <c r="I227" s="474">
        <v>7.9786154797125448</v>
      </c>
    </row>
    <row r="228" spans="2:11">
      <c r="B228" s="475" t="s">
        <v>387</v>
      </c>
      <c r="I228" s="476"/>
    </row>
    <row r="229" spans="2:11">
      <c r="B229" s="475" t="s">
        <v>388</v>
      </c>
      <c r="I229" s="476"/>
    </row>
    <row r="231" spans="2:11" ht="23.25">
      <c r="B231" s="335" t="s">
        <v>389</v>
      </c>
    </row>
    <row r="232" spans="2:11" ht="15">
      <c r="B232" s="350" t="s">
        <v>842</v>
      </c>
      <c r="C232" s="350"/>
      <c r="D232" s="350"/>
      <c r="E232" s="350"/>
      <c r="F232" s="350"/>
      <c r="G232" s="350"/>
      <c r="H232" s="350"/>
      <c r="I232" s="350"/>
      <c r="J232" s="350"/>
      <c r="K232" s="350"/>
    </row>
    <row r="233" spans="2:11" ht="30">
      <c r="B233" s="412"/>
      <c r="C233" s="477" t="s">
        <v>14</v>
      </c>
      <c r="D233" s="478"/>
      <c r="E233" s="478"/>
      <c r="F233" s="479" t="s">
        <v>390</v>
      </c>
      <c r="G233" s="480"/>
      <c r="H233" s="480"/>
      <c r="I233" s="480"/>
      <c r="J233" s="355"/>
    </row>
    <row r="234" spans="2:11">
      <c r="B234" s="481" t="s">
        <v>64</v>
      </c>
      <c r="C234" s="482" t="s">
        <v>29</v>
      </c>
      <c r="D234" s="482" t="s">
        <v>67</v>
      </c>
      <c r="E234" s="482" t="s">
        <v>58</v>
      </c>
      <c r="F234" s="483" t="s">
        <v>23</v>
      </c>
      <c r="G234" s="482" t="s">
        <v>24</v>
      </c>
      <c r="H234" s="482" t="s">
        <v>25</v>
      </c>
      <c r="I234" s="482" t="s">
        <v>26</v>
      </c>
      <c r="J234" s="484" t="s">
        <v>27</v>
      </c>
    </row>
    <row r="235" spans="2:11">
      <c r="B235" s="485" t="s">
        <v>149</v>
      </c>
      <c r="C235" s="382">
        <v>54924</v>
      </c>
      <c r="D235" s="382">
        <v>11117</v>
      </c>
      <c r="E235" s="382">
        <v>1139</v>
      </c>
      <c r="F235" s="486">
        <v>15869</v>
      </c>
      <c r="G235" s="382">
        <v>9687</v>
      </c>
      <c r="H235" s="382">
        <v>24039</v>
      </c>
      <c r="I235" s="382">
        <v>14275</v>
      </c>
      <c r="J235" s="382">
        <v>3302</v>
      </c>
    </row>
    <row r="236" spans="2:11">
      <c r="B236" s="485" t="s">
        <v>150</v>
      </c>
      <c r="C236" s="382">
        <v>32964</v>
      </c>
      <c r="D236" s="382">
        <v>12092</v>
      </c>
      <c r="E236" s="382">
        <v>787</v>
      </c>
      <c r="F236" s="487">
        <v>10149</v>
      </c>
      <c r="G236" s="382">
        <v>5929</v>
      </c>
      <c r="H236" s="382">
        <v>15419</v>
      </c>
      <c r="I236" s="382">
        <v>10965</v>
      </c>
      <c r="J236" s="382">
        <v>3381</v>
      </c>
    </row>
    <row r="237" spans="2:11">
      <c r="B237" s="485" t="s">
        <v>151</v>
      </c>
      <c r="C237" s="382">
        <v>15693</v>
      </c>
      <c r="D237" s="382">
        <v>3170</v>
      </c>
      <c r="E237" s="382">
        <v>375</v>
      </c>
      <c r="F237" s="487">
        <v>2892</v>
      </c>
      <c r="G237" s="382">
        <v>1947</v>
      </c>
      <c r="H237" s="382">
        <v>5149</v>
      </c>
      <c r="I237" s="382">
        <v>6581</v>
      </c>
      <c r="J237" s="382">
        <v>2674</v>
      </c>
    </row>
    <row r="238" spans="2:11">
      <c r="B238" s="485" t="s">
        <v>153</v>
      </c>
      <c r="C238" s="382">
        <v>11977</v>
      </c>
      <c r="D238" s="382">
        <v>800</v>
      </c>
      <c r="E238" s="382">
        <v>202</v>
      </c>
      <c r="F238" s="487">
        <v>2975</v>
      </c>
      <c r="G238" s="382">
        <v>1927</v>
      </c>
      <c r="H238" s="382">
        <v>3593</v>
      </c>
      <c r="I238" s="382">
        <v>3393</v>
      </c>
      <c r="J238" s="382">
        <v>1090</v>
      </c>
    </row>
    <row r="239" spans="2:11">
      <c r="B239" s="485" t="s">
        <v>152</v>
      </c>
      <c r="C239" s="382">
        <v>5623</v>
      </c>
      <c r="D239" s="382">
        <v>307</v>
      </c>
      <c r="E239" s="382">
        <v>77</v>
      </c>
      <c r="F239" s="487">
        <v>1553</v>
      </c>
      <c r="G239" s="382">
        <v>898</v>
      </c>
      <c r="H239" s="382">
        <v>1678</v>
      </c>
      <c r="I239" s="382">
        <v>1360</v>
      </c>
      <c r="J239" s="382">
        <v>518</v>
      </c>
    </row>
    <row r="240" spans="2:11">
      <c r="B240" s="485" t="s">
        <v>154</v>
      </c>
      <c r="C240" s="382">
        <v>4150</v>
      </c>
      <c r="D240" s="382">
        <v>895</v>
      </c>
      <c r="E240" s="382">
        <v>52</v>
      </c>
      <c r="F240" s="487">
        <v>1352</v>
      </c>
      <c r="G240" s="382">
        <v>717</v>
      </c>
      <c r="H240" s="382">
        <v>1584</v>
      </c>
      <c r="I240" s="382">
        <v>1147</v>
      </c>
      <c r="J240" s="382">
        <v>297</v>
      </c>
    </row>
    <row r="241" spans="2:12">
      <c r="B241" s="485" t="s">
        <v>156</v>
      </c>
      <c r="C241" s="382">
        <v>1421</v>
      </c>
      <c r="D241" s="382">
        <v>3041</v>
      </c>
      <c r="E241" s="382">
        <v>91</v>
      </c>
      <c r="F241" s="487">
        <v>702</v>
      </c>
      <c r="G241" s="382">
        <v>460</v>
      </c>
      <c r="H241" s="382">
        <v>1798</v>
      </c>
      <c r="I241" s="382">
        <v>1271</v>
      </c>
      <c r="J241" s="382">
        <v>325</v>
      </c>
    </row>
    <row r="242" spans="2:12">
      <c r="B242" s="485" t="s">
        <v>166</v>
      </c>
      <c r="C242" s="382">
        <v>2605</v>
      </c>
      <c r="D242" s="382">
        <v>1511</v>
      </c>
      <c r="E242" s="382">
        <v>97</v>
      </c>
      <c r="F242" s="487">
        <v>1004</v>
      </c>
      <c r="G242" s="382">
        <v>518</v>
      </c>
      <c r="H242" s="382">
        <v>1307</v>
      </c>
      <c r="I242" s="382">
        <v>932</v>
      </c>
      <c r="J242" s="382">
        <v>444</v>
      </c>
    </row>
    <row r="243" spans="2:12">
      <c r="B243" s="485" t="s">
        <v>158</v>
      </c>
      <c r="C243" s="382">
        <v>509</v>
      </c>
      <c r="D243" s="382">
        <v>3027</v>
      </c>
      <c r="E243" s="382">
        <v>29</v>
      </c>
      <c r="F243" s="487">
        <v>719</v>
      </c>
      <c r="G243" s="382">
        <v>371</v>
      </c>
      <c r="H243" s="382">
        <v>2065</v>
      </c>
      <c r="I243" s="382">
        <v>343</v>
      </c>
      <c r="J243" s="382">
        <v>63</v>
      </c>
    </row>
    <row r="244" spans="2:12" ht="15" customHeight="1">
      <c r="B244" s="485" t="s">
        <v>164</v>
      </c>
      <c r="C244" s="382">
        <v>3079</v>
      </c>
      <c r="D244" s="382">
        <v>6</v>
      </c>
      <c r="E244" s="382">
        <v>26</v>
      </c>
      <c r="F244" s="487">
        <v>941</v>
      </c>
      <c r="G244" s="382">
        <v>601</v>
      </c>
      <c r="H244" s="382">
        <v>920</v>
      </c>
      <c r="I244" s="382">
        <v>507</v>
      </c>
      <c r="J244" s="382">
        <v>131</v>
      </c>
    </row>
    <row r="245" spans="2:12">
      <c r="B245" s="488" t="s">
        <v>71</v>
      </c>
      <c r="C245" s="489">
        <v>13520</v>
      </c>
      <c r="D245" s="489">
        <v>7829</v>
      </c>
      <c r="E245" s="489">
        <v>361</v>
      </c>
      <c r="F245" s="490">
        <v>4634</v>
      </c>
      <c r="G245" s="489">
        <v>2740</v>
      </c>
      <c r="H245" s="489">
        <v>7482</v>
      </c>
      <c r="I245" s="489">
        <v>5208</v>
      </c>
      <c r="J245" s="489">
        <v>1673</v>
      </c>
      <c r="K245" s="470"/>
    </row>
    <row r="246" spans="2:12">
      <c r="B246" s="491" t="s">
        <v>391</v>
      </c>
      <c r="C246" s="489">
        <v>11066</v>
      </c>
      <c r="D246" s="489">
        <v>1612</v>
      </c>
      <c r="E246" s="489">
        <v>22660</v>
      </c>
      <c r="F246" s="490">
        <v>6684</v>
      </c>
      <c r="G246" s="489">
        <v>4925</v>
      </c>
      <c r="H246" s="489">
        <v>12632</v>
      </c>
      <c r="I246" s="489">
        <v>8622</v>
      </c>
      <c r="J246" s="489">
        <v>2471</v>
      </c>
      <c r="K246" s="492"/>
    </row>
    <row r="247" spans="2:12">
      <c r="B247" s="493" t="s">
        <v>392</v>
      </c>
      <c r="C247" s="494">
        <v>157531</v>
      </c>
      <c r="D247" s="494">
        <v>45407</v>
      </c>
      <c r="E247" s="495">
        <v>25896</v>
      </c>
      <c r="F247" s="496">
        <v>49474</v>
      </c>
      <c r="G247" s="495">
        <v>30720</v>
      </c>
      <c r="H247" s="495">
        <v>77666</v>
      </c>
      <c r="I247" s="495">
        <v>54604</v>
      </c>
      <c r="J247" s="497">
        <v>16369</v>
      </c>
    </row>
    <row r="248" spans="2:12">
      <c r="B248" s="475" t="s">
        <v>393</v>
      </c>
      <c r="C248" s="498"/>
      <c r="D248" s="498"/>
      <c r="E248" s="498"/>
      <c r="F248" s="498"/>
      <c r="G248" s="498"/>
      <c r="H248" s="498"/>
      <c r="I248" s="498"/>
      <c r="J248" s="498"/>
    </row>
    <row r="249" spans="2:12" ht="15.75">
      <c r="K249" s="285" t="s">
        <v>642</v>
      </c>
    </row>
    <row r="250" spans="2:12" ht="15.75">
      <c r="B250" s="499" t="s">
        <v>857</v>
      </c>
      <c r="C250" s="500"/>
      <c r="D250" s="500"/>
      <c r="E250" s="500"/>
      <c r="F250" s="500"/>
      <c r="G250" s="500"/>
      <c r="H250" s="500"/>
      <c r="I250" s="500"/>
      <c r="J250" s="501"/>
      <c r="K250" s="114"/>
      <c r="L250" s="114"/>
    </row>
    <row r="251" spans="2:12" ht="15.75">
      <c r="B251" s="502" t="s">
        <v>424</v>
      </c>
      <c r="C251" s="503"/>
      <c r="D251" s="503"/>
      <c r="E251" s="503"/>
      <c r="F251" s="503"/>
      <c r="G251" s="503"/>
      <c r="H251" s="503"/>
      <c r="I251" s="503"/>
      <c r="J251" s="504"/>
      <c r="K251" s="114"/>
      <c r="L251" s="114"/>
    </row>
    <row r="252" spans="2:12" ht="15.75">
      <c r="B252" s="505" t="s">
        <v>824</v>
      </c>
      <c r="C252" s="506"/>
      <c r="D252" s="506"/>
      <c r="E252" s="506"/>
      <c r="F252" s="506"/>
      <c r="G252" s="506"/>
      <c r="H252" s="506"/>
      <c r="I252" s="506"/>
      <c r="J252" s="507"/>
      <c r="K252" s="114"/>
      <c r="L252" s="114"/>
    </row>
  </sheetData>
  <sheetProtection algorithmName="SHA-512" hashValue="pik5AZuii4Lep2L4bvQNx1oEB+33aSxeNdUKkvcIIPkdpGml6AZTOEJn1PoIiLJ5CQWNb/Pitc9g80AHjf+xJA==" saltValue="gdZ+mT34CrNkXoy4Uyh6KQ==" spinCount="100000" sheet="1" objects="1" scenarios="1"/>
  <mergeCells count="1">
    <mergeCell ref="J1:K1"/>
  </mergeCells>
  <hyperlinks>
    <hyperlink ref="J1:K1" location="'Index '!A1" display="Back to Index"/>
    <hyperlink ref="K249" location="'3.1 Northern Territory'!K1" display="Back to top"/>
  </hyperlinks>
  <pageMargins left="0.7" right="0.7" top="0.75" bottom="0.75" header="0.3" footer="0.3"/>
  <pageSetup paperSize="9" orientation="portrait" horizontalDpi="0" verticalDpi="0"/>
  <drawing r:id="rId1"/>
  <tableParts count="10">
    <tablePart r:id="rId2"/>
    <tablePart r:id="rId3"/>
    <tablePart r:id="rId4"/>
    <tablePart r:id="rId5"/>
    <tablePart r:id="rId6"/>
    <tablePart r:id="rId7"/>
    <tablePart r:id="rId8"/>
    <tablePart r:id="rId9"/>
    <tablePart r:id="rId10"/>
    <tablePart r:id="rId1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1"/>
  <sheetViews>
    <sheetView showGridLines="0" topLeftCell="A31" zoomScaleNormal="100" zoomScaleSheetLayoutView="100" zoomScalePageLayoutView="75" workbookViewId="0"/>
  </sheetViews>
  <sheetFormatPr defaultColWidth="15.625" defaultRowHeight="12.75"/>
  <cols>
    <col min="1" max="1" width="5.875" style="149" customWidth="1"/>
    <col min="2" max="2" width="41.375" style="149" customWidth="1"/>
    <col min="3" max="11" width="10.875" style="149" customWidth="1"/>
    <col min="12" max="14" width="15.625" style="149" customWidth="1"/>
    <col min="15" max="18" width="15.625" style="149"/>
    <col min="19" max="28" width="15.625" style="149" customWidth="1"/>
    <col min="29" max="16384" width="15.625" style="149"/>
  </cols>
  <sheetData>
    <row r="1" spans="1:11" ht="15.75">
      <c r="J1" s="1229" t="s">
        <v>359</v>
      </c>
      <c r="K1" s="1229"/>
    </row>
    <row r="2" spans="1:11" s="510" customFormat="1" ht="30">
      <c r="A2" s="508"/>
      <c r="B2" s="119" t="s">
        <v>868</v>
      </c>
      <c r="C2" s="333"/>
      <c r="D2" s="333"/>
      <c r="E2" s="333"/>
      <c r="F2" s="333"/>
      <c r="G2" s="509"/>
      <c r="H2" s="509"/>
      <c r="I2" s="509"/>
      <c r="J2" s="509"/>
      <c r="K2" s="509"/>
    </row>
    <row r="3" spans="1:11">
      <c r="B3" s="122"/>
      <c r="C3" s="122"/>
      <c r="D3" s="122"/>
      <c r="E3" s="122"/>
      <c r="F3" s="122"/>
    </row>
    <row r="4" spans="1:11">
      <c r="B4" s="122"/>
      <c r="C4" s="122"/>
      <c r="D4" s="122"/>
      <c r="E4" s="122"/>
      <c r="F4" s="122"/>
    </row>
    <row r="5" spans="1:11">
      <c r="B5" s="122"/>
      <c r="C5" s="122"/>
      <c r="D5" s="122"/>
      <c r="E5" s="122"/>
      <c r="F5" s="122"/>
    </row>
    <row r="6" spans="1:11">
      <c r="B6" s="123"/>
      <c r="C6" s="123"/>
      <c r="D6" s="123"/>
      <c r="E6" s="122"/>
      <c r="F6" s="122"/>
    </row>
    <row r="7" spans="1:11" ht="15.75">
      <c r="B7" s="124" t="s">
        <v>0</v>
      </c>
      <c r="C7" s="53" t="s">
        <v>1</v>
      </c>
      <c r="D7" s="123"/>
      <c r="E7" s="122"/>
      <c r="F7" s="122"/>
    </row>
    <row r="8" spans="1:11" ht="15.75">
      <c r="B8" s="126" t="s">
        <v>2</v>
      </c>
      <c r="C8" s="53">
        <f>D16</f>
        <v>0.64365076158539047</v>
      </c>
      <c r="D8" s="123"/>
      <c r="E8" s="122"/>
      <c r="F8" s="122"/>
    </row>
    <row r="9" spans="1:11" ht="15.75">
      <c r="B9" s="126" t="s">
        <v>3</v>
      </c>
      <c r="C9" s="53">
        <f>D18</f>
        <v>0.12185366247828371</v>
      </c>
      <c r="D9" s="123"/>
      <c r="E9" s="122"/>
      <c r="F9" s="122"/>
    </row>
    <row r="10" spans="1:11" ht="15.75">
      <c r="B10" s="126" t="s">
        <v>4</v>
      </c>
      <c r="C10" s="53">
        <f>D19</f>
        <v>0.10605632095672902</v>
      </c>
      <c r="D10" s="123"/>
      <c r="E10" s="122"/>
      <c r="F10" s="122"/>
    </row>
    <row r="11" spans="1:11" ht="15.75">
      <c r="B11" s="126" t="s">
        <v>5</v>
      </c>
      <c r="C11" s="53">
        <f>D20</f>
        <v>0.1282372429396792</v>
      </c>
      <c r="D11" s="123"/>
      <c r="E11" s="122"/>
      <c r="F11" s="122"/>
    </row>
    <row r="12" spans="1:11" ht="23.25">
      <c r="B12" s="127" t="s">
        <v>643</v>
      </c>
    </row>
    <row r="14" spans="1:11" s="128" customFormat="1" ht="25.5">
      <c r="B14" s="252" t="s">
        <v>0</v>
      </c>
      <c r="C14" s="233" t="s">
        <v>242</v>
      </c>
      <c r="D14" s="233" t="s">
        <v>1</v>
      </c>
      <c r="E14" s="233" t="s">
        <v>7</v>
      </c>
      <c r="F14" s="233" t="s">
        <v>65</v>
      </c>
      <c r="G14" s="233" t="s">
        <v>8</v>
      </c>
      <c r="I14" s="149"/>
    </row>
    <row r="15" spans="1:11" s="129" customFormat="1">
      <c r="B15" s="262" t="s">
        <v>9</v>
      </c>
      <c r="C15" s="511">
        <v>24751</v>
      </c>
      <c r="D15" s="54">
        <f>SUM(C15/C15)</f>
        <v>1</v>
      </c>
      <c r="E15" s="55">
        <v>25186</v>
      </c>
      <c r="F15" s="55">
        <f>(Table47911131572125721[[#This Row],[2016 Census]]-Table47911131572125721[[#This Row],[2011 Census]])</f>
        <v>-435</v>
      </c>
      <c r="G15" s="54">
        <f>(Table47911131572125721[[#This Row],[Change 2011-2016]]/Table47911131572125721[[#This Row],[2011 Census]])</f>
        <v>-1.7271500039704599E-2</v>
      </c>
    </row>
    <row r="16" spans="1:11" s="129" customFormat="1">
      <c r="B16" s="262" t="s">
        <v>2</v>
      </c>
      <c r="C16" s="511">
        <v>15931</v>
      </c>
      <c r="D16" s="54">
        <f>SUM(C16/C15)</f>
        <v>0.64365076158539047</v>
      </c>
      <c r="E16" s="55">
        <v>17868</v>
      </c>
      <c r="F16" s="55">
        <f>(Table47911131572125721[[#This Row],[2016 Census]]-Table47911131572125721[[#This Row],[2011 Census]])</f>
        <v>-1937</v>
      </c>
      <c r="G16" s="54">
        <f>(Table47911131572125721[[#This Row],[Change 2011-2016]]/Table47911131572125721[[#This Row],[2011 Census]])</f>
        <v>-0.10840608909782852</v>
      </c>
    </row>
    <row r="17" spans="2:8" s="129" customFormat="1">
      <c r="B17" s="262" t="s">
        <v>362</v>
      </c>
      <c r="C17" s="511">
        <v>5796</v>
      </c>
      <c r="D17" s="54">
        <f>SUM(C17/C15)</f>
        <v>0.23417235667245767</v>
      </c>
      <c r="E17" s="512">
        <v>5032</v>
      </c>
      <c r="F17" s="55">
        <f>(Table47911131572125721[[#This Row],[2016 Census]]-Table47911131572125721[[#This Row],[2011 Census]])</f>
        <v>764</v>
      </c>
      <c r="G17" s="54">
        <f>(Table47911131572125721[[#This Row],[Change 2011-2016]]/Table47911131572125721[[#This Row],[2011 Census]])</f>
        <v>0.1518282988871224</v>
      </c>
    </row>
    <row r="18" spans="2:8" s="129" customFormat="1">
      <c r="B18" s="262" t="s">
        <v>3</v>
      </c>
      <c r="C18" s="511">
        <v>3016</v>
      </c>
      <c r="D18" s="54">
        <f>SUM(C18/C15)</f>
        <v>0.12185366247828371</v>
      </c>
      <c r="E18" s="512">
        <v>2288</v>
      </c>
      <c r="F18" s="55">
        <f>(Table47911131572125721[[#This Row],[2016 Census]]-Table47911131572125721[[#This Row],[2011 Census]])</f>
        <v>728</v>
      </c>
      <c r="G18" s="54">
        <f>(Table47911131572125721[[#This Row],[Change 2011-2016]]/Table47911131572125721[[#This Row],[2011 Census]])</f>
        <v>0.31818181818181818</v>
      </c>
    </row>
    <row r="19" spans="2:8" s="129" customFormat="1">
      <c r="B19" s="262" t="s">
        <v>4</v>
      </c>
      <c r="C19" s="511">
        <v>2625</v>
      </c>
      <c r="D19" s="54">
        <f>SUM(C19/C15)</f>
        <v>0.10605632095672902</v>
      </c>
      <c r="E19" s="512">
        <v>2452</v>
      </c>
      <c r="F19" s="55">
        <f>(Table47911131572125721[[#This Row],[2016 Census]]-Table47911131572125721[[#This Row],[2011 Census]])</f>
        <v>173</v>
      </c>
      <c r="G19" s="54">
        <f>(Table47911131572125721[[#This Row],[Change 2011-2016]]/Table47911131572125721[[#This Row],[2011 Census]])</f>
        <v>7.0554649265905378E-2</v>
      </c>
    </row>
    <row r="20" spans="2:8" s="129" customFormat="1">
      <c r="B20" s="262" t="s">
        <v>5</v>
      </c>
      <c r="C20" s="511">
        <v>3174</v>
      </c>
      <c r="D20" s="54">
        <f>SUM(C20/C15)</f>
        <v>0.1282372429396792</v>
      </c>
      <c r="E20" s="512">
        <v>2580</v>
      </c>
      <c r="F20" s="55">
        <f>(Table47911131572125721[[#This Row],[2016 Census]]-Table47911131572125721[[#This Row],[2011 Census]])</f>
        <v>594</v>
      </c>
      <c r="G20" s="54">
        <f>(Table47911131572125721[[#This Row],[Change 2011-2016]]/Table47911131572125721[[#This Row],[2011 Census]])</f>
        <v>0.23023255813953489</v>
      </c>
    </row>
    <row r="21" spans="2:8" s="129" customFormat="1">
      <c r="B21" s="262" t="s">
        <v>11</v>
      </c>
      <c r="C21" s="511">
        <v>2663</v>
      </c>
      <c r="D21" s="54">
        <f>SUM(C21/C15)</f>
        <v>0.10759161246010263</v>
      </c>
      <c r="E21" s="512">
        <v>2180</v>
      </c>
      <c r="F21" s="55">
        <f>(Table47911131572125721[[#This Row],[2016 Census]]-Table47911131572125721[[#This Row],[2011 Census]])</f>
        <v>483</v>
      </c>
      <c r="G21" s="54">
        <f>(Table47911131572125721[[#This Row],[Change 2011-2016]]/Table47911131572125721[[#This Row],[2011 Census]])</f>
        <v>0.22155963302752293</v>
      </c>
    </row>
    <row r="22" spans="2:8" s="129" customFormat="1">
      <c r="B22" s="262" t="s">
        <v>12</v>
      </c>
      <c r="C22" s="511">
        <v>4360</v>
      </c>
      <c r="D22" s="54">
        <f>SUM(C22/C15)</f>
        <v>0.17615449880812897</v>
      </c>
      <c r="E22" s="512">
        <v>4690</v>
      </c>
      <c r="F22" s="55">
        <f>(Table47911131572125721[[#This Row],[2016 Census]]-Table47911131572125721[[#This Row],[2011 Census]])</f>
        <v>-330</v>
      </c>
      <c r="G22" s="54">
        <f>(Table47911131572125721[[#This Row],[Change 2011-2016]]/Table47911131572125721[[#This Row],[2011 Census]])</f>
        <v>-7.0362473347547971E-2</v>
      </c>
    </row>
    <row r="23" spans="2:8" s="129" customFormat="1">
      <c r="B23" s="262" t="s">
        <v>13</v>
      </c>
      <c r="C23" s="511">
        <v>4694</v>
      </c>
      <c r="D23" s="54">
        <f>SUM(C23/C15)</f>
        <v>0.18964890307462326</v>
      </c>
      <c r="E23" s="512">
        <v>4055</v>
      </c>
      <c r="F23" s="55">
        <f>(Table47911131572125721[[#This Row],[2016 Census]]-Table47911131572125721[[#This Row],[2011 Census]])</f>
        <v>639</v>
      </c>
      <c r="G23" s="54">
        <f>(Table47911131572125721[[#This Row],[Change 2011-2016]]/Table47911131572125721[[#This Row],[2011 Census]])</f>
        <v>0.15758323057953144</v>
      </c>
    </row>
    <row r="24" spans="2:8" s="129" customFormat="1">
      <c r="B24" s="262" t="s">
        <v>869</v>
      </c>
      <c r="C24" s="511">
        <v>2031</v>
      </c>
      <c r="D24" s="54">
        <f>SUM(C24/C15)</f>
        <v>8.205729061452062E-2</v>
      </c>
      <c r="E24" s="512">
        <v>1992</v>
      </c>
      <c r="F24" s="55">
        <f>(Table47911131572125721[[#This Row],[2016 Census]]-Table47911131572125721[[#This Row],[2011 Census]])</f>
        <v>39</v>
      </c>
      <c r="G24" s="54">
        <f>(Table47911131572125721[[#This Row],[Change 2011-2016]]/Table47911131572125721[[#This Row],[2011 Census]])</f>
        <v>1.9578313253012049E-2</v>
      </c>
    </row>
    <row r="25" spans="2:8" s="129" customFormat="1" ht="15.95" customHeight="1">
      <c r="B25" s="262" t="s">
        <v>870</v>
      </c>
      <c r="C25" s="511">
        <v>1039</v>
      </c>
      <c r="D25" s="54">
        <f>SUM(C25/C15)</f>
        <v>4.1978101894872936E-2</v>
      </c>
      <c r="E25" s="512">
        <v>1208</v>
      </c>
      <c r="F25" s="55">
        <f>(Table47911131572125721[[#This Row],[2016 Census]]-Table47911131572125721[[#This Row],[2011 Census]])</f>
        <v>-169</v>
      </c>
      <c r="G25" s="54">
        <f>(Table47911131572125721[[#This Row],[Change 2011-2016]]/Table47911131572125721[[#This Row],[2011 Census]])</f>
        <v>-0.13990066225165562</v>
      </c>
    </row>
    <row r="26" spans="2:8" s="329" customFormat="1">
      <c r="B26" s="349" t="s">
        <v>366</v>
      </c>
    </row>
    <row r="27" spans="2:8" s="329" customFormat="1"/>
    <row r="28" spans="2:8" s="329" customFormat="1" ht="23.25">
      <c r="B28" s="127" t="s">
        <v>396</v>
      </c>
      <c r="D28" s="513"/>
      <c r="E28" s="514"/>
      <c r="F28" s="514"/>
      <c r="G28" s="514"/>
    </row>
    <row r="29" spans="2:8" s="329" customFormat="1" ht="15.75">
      <c r="B29" s="133" t="s">
        <v>328</v>
      </c>
    </row>
    <row r="30" spans="2:8" s="128" customFormat="1" ht="25.5">
      <c r="B30" s="252" t="s">
        <v>14</v>
      </c>
      <c r="C30" s="233" t="s">
        <v>15</v>
      </c>
      <c r="D30" s="233" t="s">
        <v>16</v>
      </c>
      <c r="E30" s="233" t="s">
        <v>17</v>
      </c>
      <c r="F30" s="233" t="s">
        <v>18</v>
      </c>
      <c r="G30" s="515" t="s">
        <v>19</v>
      </c>
      <c r="H30" s="233" t="s">
        <v>20</v>
      </c>
    </row>
    <row r="31" spans="2:8" s="129" customFormat="1">
      <c r="B31" s="516" t="s">
        <v>73</v>
      </c>
      <c r="C31" s="56">
        <v>405</v>
      </c>
      <c r="D31" s="56">
        <v>470</v>
      </c>
      <c r="E31" s="56">
        <v>873</v>
      </c>
      <c r="F31" s="57">
        <f>(Table552024620[[#This Row],[Persons 2016]]/$C$17)</f>
        <v>0.15062111801242237</v>
      </c>
      <c r="G31" s="58">
        <v>663</v>
      </c>
      <c r="H31" s="59">
        <f>SUM((Table552024620[[#This Row],[Persons 2016]]-Table552024620[[#This Row],[Persons 2011]])/Table552024620[[#This Row],[Persons 2011]])</f>
        <v>0.31674208144796379</v>
      </c>
    </row>
    <row r="32" spans="2:8" s="129" customFormat="1" ht="15.95" customHeight="1">
      <c r="B32" s="517" t="s">
        <v>74</v>
      </c>
      <c r="C32" s="56">
        <v>379</v>
      </c>
      <c r="D32" s="56">
        <v>300</v>
      </c>
      <c r="E32" s="56">
        <v>677</v>
      </c>
      <c r="F32" s="57">
        <f>(Table552024620[[#This Row],[Persons 2016]]/$C$17)</f>
        <v>0.11680469289164941</v>
      </c>
      <c r="G32" s="58">
        <v>625</v>
      </c>
      <c r="H32" s="59">
        <f>SUM((Table552024620[[#This Row],[Persons 2016]]-Table552024620[[#This Row],[Persons 2011]])/Table552024620[[#This Row],[Persons 2011]])</f>
        <v>8.3199999999999996E-2</v>
      </c>
    </row>
    <row r="33" spans="2:10" s="129" customFormat="1">
      <c r="B33" s="518" t="s">
        <v>92</v>
      </c>
      <c r="C33" s="56">
        <v>352</v>
      </c>
      <c r="D33" s="56">
        <v>312</v>
      </c>
      <c r="E33" s="56">
        <v>666</v>
      </c>
      <c r="F33" s="57">
        <f>(Table552024620[[#This Row],[Persons 2016]]/$C$17)</f>
        <v>0.11490683229813664</v>
      </c>
      <c r="G33" s="58">
        <v>718</v>
      </c>
      <c r="H33" s="59">
        <f>SUM((Table552024620[[#This Row],[Persons 2016]]-Table552024620[[#This Row],[Persons 2011]])/Table552024620[[#This Row],[Persons 2011]])</f>
        <v>-7.2423398328690811E-2</v>
      </c>
    </row>
    <row r="34" spans="2:10" s="129" customFormat="1">
      <c r="B34" s="516" t="s">
        <v>75</v>
      </c>
      <c r="C34" s="56">
        <v>340</v>
      </c>
      <c r="D34" s="56">
        <v>316</v>
      </c>
      <c r="E34" s="56">
        <v>659</v>
      </c>
      <c r="F34" s="57">
        <f>(Table552024620[[#This Row],[Persons 2016]]/$C$17)</f>
        <v>0.11369910282953762</v>
      </c>
      <c r="G34" s="58">
        <v>431</v>
      </c>
      <c r="H34" s="59">
        <f>SUM((Table552024620[[#This Row],[Persons 2016]]-Table552024620[[#This Row],[Persons 2011]])/Table552024620[[#This Row],[Persons 2011]])</f>
        <v>0.52900232018561488</v>
      </c>
    </row>
    <row r="35" spans="2:10" s="129" customFormat="1">
      <c r="B35" s="516" t="s">
        <v>76</v>
      </c>
      <c r="C35" s="56">
        <v>207</v>
      </c>
      <c r="D35" s="56">
        <v>280</v>
      </c>
      <c r="E35" s="56">
        <v>485</v>
      </c>
      <c r="F35" s="57">
        <f>(Table552024620[[#This Row],[Persons 2016]]/$C$17)</f>
        <v>8.3678398895790207E-2</v>
      </c>
      <c r="G35" s="58">
        <v>339</v>
      </c>
      <c r="H35" s="59">
        <f>SUM((Table552024620[[#This Row],[Persons 2016]]-Table552024620[[#This Row],[Persons 2011]])/Table552024620[[#This Row],[Persons 2011]])</f>
        <v>0.43067846607669619</v>
      </c>
    </row>
    <row r="36" spans="2:10" s="129" customFormat="1">
      <c r="B36" s="518" t="s">
        <v>77</v>
      </c>
      <c r="C36" s="56">
        <v>90</v>
      </c>
      <c r="D36" s="56">
        <v>91</v>
      </c>
      <c r="E36" s="56">
        <v>185</v>
      </c>
      <c r="F36" s="57">
        <f>(Table552024620[[#This Row],[Persons 2016]]/$C$17)</f>
        <v>3.1918564527260176E-2</v>
      </c>
      <c r="G36" s="58">
        <v>186</v>
      </c>
      <c r="H36" s="59">
        <f>SUM((Table552024620[[#This Row],[Persons 2016]]-Table552024620[[#This Row],[Persons 2011]])/Table552024620[[#This Row],[Persons 2011]])</f>
        <v>-5.3763440860215058E-3</v>
      </c>
    </row>
    <row r="37" spans="2:10" s="129" customFormat="1">
      <c r="B37" s="516" t="s">
        <v>78</v>
      </c>
      <c r="C37" s="56">
        <v>64</v>
      </c>
      <c r="D37" s="56">
        <v>81</v>
      </c>
      <c r="E37" s="56">
        <v>145</v>
      </c>
      <c r="F37" s="57">
        <f>(Table552024620[[#This Row],[Persons 2016]]/$C$17)</f>
        <v>2.5017253278122844E-2</v>
      </c>
      <c r="G37" s="58">
        <v>148</v>
      </c>
      <c r="H37" s="59">
        <f>SUM((Table552024620[[#This Row],[Persons 2016]]-Table552024620[[#This Row],[Persons 2011]])/Table552024620[[#This Row],[Persons 2011]])</f>
        <v>-2.0270270270270271E-2</v>
      </c>
    </row>
    <row r="38" spans="2:10" s="129" customFormat="1">
      <c r="B38" s="518" t="s">
        <v>79</v>
      </c>
      <c r="C38" s="56">
        <v>43</v>
      </c>
      <c r="D38" s="56">
        <v>73</v>
      </c>
      <c r="E38" s="56">
        <v>119</v>
      </c>
      <c r="F38" s="57">
        <f>(Table552024620[[#This Row],[Persons 2016]]/$C$17)</f>
        <v>2.0531400966183576E-2</v>
      </c>
      <c r="G38" s="58">
        <v>119</v>
      </c>
      <c r="H38" s="59">
        <f>SUM((Table552024620[[#This Row],[Persons 2016]]-Table552024620[[#This Row],[Persons 2011]])/Table552024620[[#This Row],[Persons 2011]])</f>
        <v>0</v>
      </c>
    </row>
    <row r="39" spans="2:10" s="118" customFormat="1">
      <c r="B39" s="516" t="s">
        <v>93</v>
      </c>
      <c r="C39" s="56">
        <v>43</v>
      </c>
      <c r="D39" s="56">
        <v>66</v>
      </c>
      <c r="E39" s="56">
        <v>107</v>
      </c>
      <c r="F39" s="57">
        <f>(Table552024620[[#This Row],[Persons 2016]]/$C$17)</f>
        <v>1.8461007591442376E-2</v>
      </c>
      <c r="G39" s="58">
        <v>65</v>
      </c>
      <c r="H39" s="59">
        <f>SUM((Table552024620[[#This Row],[Persons 2016]]-Table552024620[[#This Row],[Persons 2011]])/Table552024620[[#This Row],[Persons 2011]])</f>
        <v>0.64615384615384619</v>
      </c>
      <c r="I39" s="134"/>
      <c r="J39" s="134"/>
    </row>
    <row r="40" spans="2:10" s="118" customFormat="1">
      <c r="B40" s="516" t="s">
        <v>80</v>
      </c>
      <c r="C40" s="56">
        <v>55</v>
      </c>
      <c r="D40" s="56">
        <v>47</v>
      </c>
      <c r="E40" s="56">
        <v>107</v>
      </c>
      <c r="F40" s="57">
        <f>(Table552024620[[#This Row],[Persons 2016]]/$C$17)</f>
        <v>1.8461007591442376E-2</v>
      </c>
      <c r="G40" s="58">
        <v>59</v>
      </c>
      <c r="H40" s="59">
        <f>SUM((Table552024620[[#This Row],[Persons 2016]]-Table552024620[[#This Row],[Persons 2011]])/Table552024620[[#This Row],[Persons 2011]])</f>
        <v>0.81355932203389836</v>
      </c>
      <c r="I40" s="134"/>
      <c r="J40" s="134"/>
    </row>
    <row r="41" spans="2:10" s="118" customFormat="1">
      <c r="B41" s="516" t="s">
        <v>81</v>
      </c>
      <c r="C41" s="56">
        <v>56</v>
      </c>
      <c r="D41" s="56">
        <v>48</v>
      </c>
      <c r="E41" s="56">
        <v>101</v>
      </c>
      <c r="F41" s="57">
        <f>(Table552024620[[#This Row],[Persons 2016]]/$C$17)</f>
        <v>1.7425810904071772E-2</v>
      </c>
      <c r="G41" s="58">
        <v>79</v>
      </c>
      <c r="H41" s="59">
        <f>SUM((Table552024620[[#This Row],[Persons 2016]]-Table552024620[[#This Row],[Persons 2011]])/Table552024620[[#This Row],[Persons 2011]])</f>
        <v>0.27848101265822783</v>
      </c>
      <c r="I41" s="134"/>
      <c r="J41" s="134"/>
    </row>
    <row r="42" spans="2:10" s="118" customFormat="1">
      <c r="B42" s="518" t="s">
        <v>131</v>
      </c>
      <c r="C42" s="56">
        <v>27</v>
      </c>
      <c r="D42" s="56">
        <v>57</v>
      </c>
      <c r="E42" s="56">
        <v>88</v>
      </c>
      <c r="F42" s="57">
        <f>(Table552024620[[#This Row],[Persons 2016]]/$C$17)</f>
        <v>1.518288474810214E-2</v>
      </c>
      <c r="G42" s="58">
        <v>115</v>
      </c>
      <c r="H42" s="59">
        <f>SUM((Table552024620[[#This Row],[Persons 2016]]-Table552024620[[#This Row],[Persons 2011]])/Table552024620[[#This Row],[Persons 2011]])</f>
        <v>-0.23478260869565218</v>
      </c>
      <c r="I42" s="134"/>
      <c r="J42" s="134"/>
    </row>
    <row r="43" spans="2:10" s="118" customFormat="1">
      <c r="B43" s="516" t="s">
        <v>83</v>
      </c>
      <c r="C43" s="56">
        <v>43</v>
      </c>
      <c r="D43" s="56">
        <v>34</v>
      </c>
      <c r="E43" s="56">
        <v>75</v>
      </c>
      <c r="F43" s="57">
        <f>(Table552024620[[#This Row],[Persons 2016]]/$C$17)</f>
        <v>1.2939958592132506E-2</v>
      </c>
      <c r="G43" s="519">
        <v>93</v>
      </c>
      <c r="H43" s="59">
        <f>SUM((Table552024620[[#This Row],[Persons 2016]]-Table552024620[[#This Row],[Persons 2011]])/Table552024620[[#This Row],[Persons 2011]])</f>
        <v>-0.19354838709677419</v>
      </c>
      <c r="I43" s="134"/>
      <c r="J43" s="134"/>
    </row>
    <row r="44" spans="2:10" s="118" customFormat="1">
      <c r="B44" s="516" t="s">
        <v>82</v>
      </c>
      <c r="C44" s="56">
        <v>33</v>
      </c>
      <c r="D44" s="56">
        <v>45</v>
      </c>
      <c r="E44" s="56">
        <v>75</v>
      </c>
      <c r="F44" s="57">
        <f>(Table552024620[[#This Row],[Persons 2016]]/$C$17)</f>
        <v>1.2939958592132506E-2</v>
      </c>
      <c r="G44" s="519">
        <v>52</v>
      </c>
      <c r="H44" s="59">
        <f>SUM((Table552024620[[#This Row],[Persons 2016]]-Table552024620[[#This Row],[Persons 2011]])/Table552024620[[#This Row],[Persons 2011]])</f>
        <v>0.44230769230769229</v>
      </c>
      <c r="I44" s="134"/>
      <c r="J44" s="134"/>
    </row>
    <row r="45" spans="2:10" s="118" customFormat="1">
      <c r="B45" s="516" t="s">
        <v>84</v>
      </c>
      <c r="C45" s="56">
        <v>32</v>
      </c>
      <c r="D45" s="56">
        <v>37</v>
      </c>
      <c r="E45" s="56">
        <v>69</v>
      </c>
      <c r="F45" s="57">
        <f>(Table552024620[[#This Row],[Persons 2016]]/$C$17)</f>
        <v>1.1904761904761904E-2</v>
      </c>
      <c r="G45" s="519">
        <v>79</v>
      </c>
      <c r="H45" s="59">
        <f>SUM((Table552024620[[#This Row],[Persons 2016]]-Table552024620[[#This Row],[Persons 2011]])/Table552024620[[#This Row],[Persons 2011]])</f>
        <v>-0.12658227848101267</v>
      </c>
      <c r="I45" s="134"/>
      <c r="J45" s="134"/>
    </row>
    <row r="46" spans="2:10" s="118" customFormat="1">
      <c r="B46" s="516" t="s">
        <v>85</v>
      </c>
      <c r="C46" s="56">
        <v>32</v>
      </c>
      <c r="D46" s="56">
        <v>33</v>
      </c>
      <c r="E46" s="56">
        <v>66</v>
      </c>
      <c r="F46" s="57">
        <f>(Table552024620[[#This Row],[Persons 2016]]/$C$17)</f>
        <v>1.1387163561076604E-2</v>
      </c>
      <c r="G46" s="519">
        <v>72</v>
      </c>
      <c r="H46" s="59">
        <f>SUM((Table552024620[[#This Row],[Persons 2016]]-Table552024620[[#This Row],[Persons 2011]])/Table552024620[[#This Row],[Persons 2011]])</f>
        <v>-8.3333333333333329E-2</v>
      </c>
      <c r="I46" s="134"/>
      <c r="J46" s="134"/>
    </row>
    <row r="47" spans="2:10" s="118" customFormat="1">
      <c r="B47" s="516" t="s">
        <v>141</v>
      </c>
      <c r="C47" s="56">
        <v>21</v>
      </c>
      <c r="D47" s="56">
        <v>46</v>
      </c>
      <c r="E47" s="56">
        <v>64</v>
      </c>
      <c r="F47" s="57">
        <f>(Table552024620[[#This Row],[Persons 2016]]/$C$17)</f>
        <v>1.1042097998619738E-2</v>
      </c>
      <c r="G47" s="519">
        <v>56</v>
      </c>
      <c r="H47" s="59">
        <f>SUM((Table552024620[[#This Row],[Persons 2016]]-Table552024620[[#This Row],[Persons 2011]])/Table552024620[[#This Row],[Persons 2011]])</f>
        <v>0.14285714285714285</v>
      </c>
      <c r="I47" s="134"/>
      <c r="J47" s="134"/>
    </row>
    <row r="48" spans="2:10" s="118" customFormat="1">
      <c r="B48" s="516" t="s">
        <v>86</v>
      </c>
      <c r="C48" s="56">
        <v>18</v>
      </c>
      <c r="D48" s="56">
        <v>39</v>
      </c>
      <c r="E48" s="56">
        <v>62</v>
      </c>
      <c r="F48" s="57">
        <f>(Table552024620[[#This Row],[Persons 2016]]/$C$17)</f>
        <v>1.069703243616287E-2</v>
      </c>
      <c r="G48" s="519">
        <v>37</v>
      </c>
      <c r="H48" s="59">
        <f>SUM((Table552024620[[#This Row],[Persons 2016]]-Table552024620[[#This Row],[Persons 2011]])/Table552024620[[#This Row],[Persons 2011]])</f>
        <v>0.67567567567567566</v>
      </c>
      <c r="I48" s="134"/>
      <c r="J48" s="134"/>
    </row>
    <row r="49" spans="2:10" s="118" customFormat="1">
      <c r="B49" s="516" t="s">
        <v>130</v>
      </c>
      <c r="C49" s="56">
        <v>19</v>
      </c>
      <c r="D49" s="56">
        <v>41</v>
      </c>
      <c r="E49" s="56">
        <v>55</v>
      </c>
      <c r="F49" s="57">
        <f>(Table552024620[[#This Row],[Persons 2016]]/$C$17)</f>
        <v>9.4893029675638379E-3</v>
      </c>
      <c r="G49" s="519">
        <v>64</v>
      </c>
      <c r="H49" s="59">
        <f>SUM((Table552024620[[#This Row],[Persons 2016]]-Table552024620[[#This Row],[Persons 2011]])/Table552024620[[#This Row],[Persons 2011]])</f>
        <v>-0.140625</v>
      </c>
      <c r="I49" s="134"/>
      <c r="J49" s="134"/>
    </row>
    <row r="50" spans="2:10" s="118" customFormat="1">
      <c r="B50" s="516" t="s">
        <v>87</v>
      </c>
      <c r="C50" s="56">
        <v>22</v>
      </c>
      <c r="D50" s="56">
        <v>33</v>
      </c>
      <c r="E50" s="56">
        <v>55</v>
      </c>
      <c r="F50" s="57">
        <f>(Table552024620[[#This Row],[Persons 2016]]/$C$17)</f>
        <v>9.4893029675638379E-3</v>
      </c>
      <c r="G50" s="519">
        <v>46</v>
      </c>
      <c r="H50" s="59">
        <f>SUM((Table552024620[[#This Row],[Persons 2016]]-Table552024620[[#This Row],[Persons 2011]])/Table552024620[[#This Row],[Persons 2011]])</f>
        <v>0.19565217391304349</v>
      </c>
      <c r="I50" s="134"/>
      <c r="J50" s="134"/>
    </row>
    <row r="51" spans="2:10" s="118" customFormat="1">
      <c r="B51" s="520" t="s">
        <v>369</v>
      </c>
      <c r="C51" s="60">
        <f>C52-SUM(C31:C50)</f>
        <v>544</v>
      </c>
      <c r="D51" s="60">
        <f>D52-SUM(D31:D50)</f>
        <v>529</v>
      </c>
      <c r="E51" s="60">
        <f>E52-SUM(E31:E50)</f>
        <v>1063</v>
      </c>
      <c r="F51" s="57">
        <f>(Table552024620[[#This Row],[Persons 2016]]/$C$17)</f>
        <v>0.1834023464458247</v>
      </c>
      <c r="G51" s="521">
        <v>829</v>
      </c>
      <c r="H51" s="59">
        <f>SUM((Table552024620[[#This Row],[Persons 2016]]-Table552024620[[#This Row],[Persons 2011]])/Table552024620[[#This Row],[Persons 2011]])</f>
        <v>0.28226779252110978</v>
      </c>
      <c r="I51" s="134"/>
      <c r="J51" s="134"/>
    </row>
    <row r="52" spans="2:10" s="118" customFormat="1">
      <c r="B52" s="522" t="s">
        <v>21</v>
      </c>
      <c r="C52" s="61">
        <v>2825</v>
      </c>
      <c r="D52" s="61">
        <v>2978</v>
      </c>
      <c r="E52" s="61">
        <f>C17</f>
        <v>5796</v>
      </c>
      <c r="F52" s="523">
        <f>(Table552024620[[#This Row],[Persons 2016]]/$C$17)</f>
        <v>1</v>
      </c>
      <c r="G52" s="524">
        <f>E17</f>
        <v>5032</v>
      </c>
      <c r="H52" s="62">
        <f>SUM((Table552024620[[#This Row],[Persons 2016]]-Table552024620[[#This Row],[Persons 2011]])/Table552024620[[#This Row],[Persons 2011]])</f>
        <v>0.1518282988871224</v>
      </c>
      <c r="I52" s="137"/>
      <c r="J52" s="137"/>
    </row>
    <row r="53" spans="2:10" s="329" customFormat="1">
      <c r="B53" s="349" t="s">
        <v>366</v>
      </c>
    </row>
    <row r="55" spans="2:10" ht="23.25">
      <c r="B55" s="127" t="s">
        <v>401</v>
      </c>
    </row>
    <row r="56" spans="2:10" ht="15.75">
      <c r="B56" s="138" t="s">
        <v>832</v>
      </c>
    </row>
    <row r="57" spans="2:10">
      <c r="B57" s="149" t="s">
        <v>871</v>
      </c>
    </row>
    <row r="58" spans="2:10">
      <c r="B58" s="525" t="s">
        <v>14</v>
      </c>
      <c r="C58" s="526" t="s">
        <v>23</v>
      </c>
      <c r="D58" s="526" t="s">
        <v>24</v>
      </c>
      <c r="E58" s="526" t="s">
        <v>25</v>
      </c>
      <c r="F58" s="526" t="s">
        <v>26</v>
      </c>
      <c r="G58" s="526" t="s">
        <v>27</v>
      </c>
      <c r="H58" s="153" t="s">
        <v>28</v>
      </c>
    </row>
    <row r="59" spans="2:10" s="118" customFormat="1">
      <c r="B59" s="527" t="s">
        <v>73</v>
      </c>
      <c r="C59" s="528">
        <v>137</v>
      </c>
      <c r="D59" s="528">
        <v>104</v>
      </c>
      <c r="E59" s="528">
        <v>295</v>
      </c>
      <c r="F59" s="242">
        <v>288</v>
      </c>
      <c r="G59" s="528">
        <v>46</v>
      </c>
      <c r="H59" s="529">
        <v>873</v>
      </c>
    </row>
    <row r="60" spans="2:10" s="118" customFormat="1">
      <c r="B60" s="530" t="s">
        <v>74</v>
      </c>
      <c r="C60" s="531">
        <v>132</v>
      </c>
      <c r="D60" s="531">
        <v>71</v>
      </c>
      <c r="E60" s="531">
        <v>241</v>
      </c>
      <c r="F60" s="239">
        <v>201</v>
      </c>
      <c r="G60" s="531">
        <v>25</v>
      </c>
      <c r="H60" s="532">
        <v>677</v>
      </c>
    </row>
    <row r="61" spans="2:10" s="118" customFormat="1">
      <c r="B61" s="533" t="s">
        <v>92</v>
      </c>
      <c r="C61" s="528">
        <v>44</v>
      </c>
      <c r="D61" s="528">
        <v>24</v>
      </c>
      <c r="E61" s="528">
        <v>138</v>
      </c>
      <c r="F61" s="242">
        <v>325</v>
      </c>
      <c r="G61" s="528">
        <v>144</v>
      </c>
      <c r="H61" s="534">
        <v>666</v>
      </c>
    </row>
    <row r="62" spans="2:10" s="118" customFormat="1">
      <c r="B62" s="535" t="s">
        <v>75</v>
      </c>
      <c r="C62" s="531">
        <v>86</v>
      </c>
      <c r="D62" s="531">
        <v>28</v>
      </c>
      <c r="E62" s="531">
        <v>438</v>
      </c>
      <c r="F62" s="239">
        <v>102</v>
      </c>
      <c r="G62" s="531">
        <v>11</v>
      </c>
      <c r="H62" s="532">
        <v>659</v>
      </c>
    </row>
    <row r="63" spans="2:10" s="118" customFormat="1">
      <c r="B63" s="527" t="s">
        <v>76</v>
      </c>
      <c r="C63" s="528">
        <v>39</v>
      </c>
      <c r="D63" s="528">
        <v>80</v>
      </c>
      <c r="E63" s="528">
        <v>214</v>
      </c>
      <c r="F63" s="242">
        <v>140</v>
      </c>
      <c r="G63" s="528">
        <v>11</v>
      </c>
      <c r="H63" s="534">
        <v>485</v>
      </c>
    </row>
    <row r="64" spans="2:10" s="118" customFormat="1">
      <c r="B64" s="530" t="s">
        <v>77</v>
      </c>
      <c r="C64" s="531">
        <v>35</v>
      </c>
      <c r="D64" s="531">
        <v>15</v>
      </c>
      <c r="E64" s="531">
        <v>93</v>
      </c>
      <c r="F64" s="239">
        <v>45</v>
      </c>
      <c r="G64" s="531">
        <v>3</v>
      </c>
      <c r="H64" s="532">
        <v>185</v>
      </c>
    </row>
    <row r="65" spans="2:8" s="118" customFormat="1">
      <c r="B65" s="527" t="s">
        <v>78</v>
      </c>
      <c r="C65" s="528">
        <v>19</v>
      </c>
      <c r="D65" s="528">
        <v>16</v>
      </c>
      <c r="E65" s="528">
        <v>60</v>
      </c>
      <c r="F65" s="242">
        <v>40</v>
      </c>
      <c r="G65" s="528">
        <v>10</v>
      </c>
      <c r="H65" s="534">
        <v>145</v>
      </c>
    </row>
    <row r="66" spans="2:8" s="118" customFormat="1">
      <c r="B66" s="530" t="s">
        <v>79</v>
      </c>
      <c r="C66" s="531">
        <v>0</v>
      </c>
      <c r="D66" s="531">
        <v>3</v>
      </c>
      <c r="E66" s="531">
        <v>33</v>
      </c>
      <c r="F66" s="239">
        <v>40</v>
      </c>
      <c r="G66" s="531">
        <v>40</v>
      </c>
      <c r="H66" s="532">
        <v>119</v>
      </c>
    </row>
    <row r="67" spans="2:8" s="118" customFormat="1">
      <c r="B67" s="527" t="s">
        <v>93</v>
      </c>
      <c r="C67" s="528">
        <v>0</v>
      </c>
      <c r="D67" s="528">
        <v>19</v>
      </c>
      <c r="E67" s="528">
        <v>78</v>
      </c>
      <c r="F67" s="242">
        <v>13</v>
      </c>
      <c r="G67" s="528">
        <v>3</v>
      </c>
      <c r="H67" s="534">
        <v>107</v>
      </c>
    </row>
    <row r="68" spans="2:8" s="118" customFormat="1">
      <c r="B68" s="535" t="s">
        <v>80</v>
      </c>
      <c r="C68" s="531">
        <v>15</v>
      </c>
      <c r="D68" s="531">
        <v>9</v>
      </c>
      <c r="E68" s="531">
        <v>55</v>
      </c>
      <c r="F68" s="239">
        <v>22</v>
      </c>
      <c r="G68" s="531">
        <v>0</v>
      </c>
      <c r="H68" s="532">
        <v>107</v>
      </c>
    </row>
    <row r="69" spans="2:8" s="118" customFormat="1">
      <c r="B69" s="536" t="s">
        <v>29</v>
      </c>
      <c r="C69" s="537">
        <v>4070</v>
      </c>
      <c r="D69" s="537">
        <v>1971</v>
      </c>
      <c r="E69" s="537">
        <v>4411</v>
      </c>
      <c r="F69" s="537">
        <v>4248</v>
      </c>
      <c r="G69" s="537">
        <v>1235</v>
      </c>
      <c r="H69" s="538">
        <v>15931</v>
      </c>
    </row>
    <row r="70" spans="2:8" s="118" customFormat="1">
      <c r="B70" s="539" t="s">
        <v>30</v>
      </c>
      <c r="C70" s="540">
        <v>337</v>
      </c>
      <c r="D70" s="540">
        <v>224</v>
      </c>
      <c r="E70" s="540">
        <v>824</v>
      </c>
      <c r="F70" s="540">
        <v>955</v>
      </c>
      <c r="G70" s="541">
        <v>280</v>
      </c>
      <c r="H70" s="84">
        <v>2625</v>
      </c>
    </row>
    <row r="71" spans="2:8" s="118" customFormat="1">
      <c r="B71" s="542" t="s">
        <v>371</v>
      </c>
      <c r="C71" s="543">
        <v>278</v>
      </c>
      <c r="D71" s="543">
        <v>277</v>
      </c>
      <c r="E71" s="543">
        <v>1628</v>
      </c>
      <c r="F71" s="543">
        <v>780</v>
      </c>
      <c r="G71" s="543">
        <v>209</v>
      </c>
      <c r="H71" s="85">
        <v>3174</v>
      </c>
    </row>
    <row r="72" spans="2:8">
      <c r="B72" s="389" t="s">
        <v>372</v>
      </c>
    </row>
    <row r="73" spans="2:8">
      <c r="B73" s="389"/>
    </row>
    <row r="74" spans="2:8" ht="23.25">
      <c r="B74" s="127" t="s">
        <v>644</v>
      </c>
    </row>
    <row r="75" spans="2:8" ht="15.75">
      <c r="B75" s="138" t="s">
        <v>833</v>
      </c>
    </row>
    <row r="76" spans="2:8">
      <c r="B76" s="149" t="s">
        <v>843</v>
      </c>
    </row>
    <row r="77" spans="2:8">
      <c r="B77" s="151" t="s">
        <v>14</v>
      </c>
      <c r="C77" s="526" t="s">
        <v>23</v>
      </c>
      <c r="D77" s="526" t="s">
        <v>24</v>
      </c>
      <c r="E77" s="526" t="s">
        <v>25</v>
      </c>
      <c r="F77" s="526" t="s">
        <v>26</v>
      </c>
      <c r="G77" s="526" t="s">
        <v>27</v>
      </c>
      <c r="H77" s="544" t="s">
        <v>28</v>
      </c>
    </row>
    <row r="78" spans="2:8">
      <c r="B78" s="63" t="str">
        <f t="shared" ref="B78:B87" si="0">B59</f>
        <v>New Zealand</v>
      </c>
      <c r="C78" s="64">
        <f t="shared" ref="C78:C90" si="1">SUM(C59/H59)</f>
        <v>0.15693012600229095</v>
      </c>
      <c r="D78" s="64">
        <f t="shared" ref="D78:D90" si="2">SUM(D59/H59)</f>
        <v>0.11912943871706758</v>
      </c>
      <c r="E78" s="64">
        <f t="shared" ref="E78:E90" si="3">SUM(E59/H59)</f>
        <v>0.33791523482245134</v>
      </c>
      <c r="F78" s="64">
        <f t="shared" ref="F78:F90" si="4">SUM(F59/H59)</f>
        <v>0.32989690721649484</v>
      </c>
      <c r="G78" s="64">
        <f t="shared" ref="G78:G90" si="5">SUM(G59/H59)</f>
        <v>5.2691867124856816E-2</v>
      </c>
      <c r="H78" s="65">
        <f t="shared" ref="H78:H90" si="6">H59</f>
        <v>873</v>
      </c>
    </row>
    <row r="79" spans="2:8">
      <c r="B79" s="66" t="str">
        <f t="shared" si="0"/>
        <v>United States of America</v>
      </c>
      <c r="C79" s="54">
        <f t="shared" si="1"/>
        <v>0.19497784342688332</v>
      </c>
      <c r="D79" s="54">
        <f t="shared" si="2"/>
        <v>0.10487444608567208</v>
      </c>
      <c r="E79" s="54">
        <f t="shared" si="3"/>
        <v>0.35598227474150662</v>
      </c>
      <c r="F79" s="54">
        <f t="shared" si="4"/>
        <v>0.29689807976366323</v>
      </c>
      <c r="G79" s="54">
        <f t="shared" si="5"/>
        <v>3.6927621861152143E-2</v>
      </c>
      <c r="H79" s="67">
        <f t="shared" si="6"/>
        <v>677</v>
      </c>
    </row>
    <row r="80" spans="2:8">
      <c r="B80" s="63" t="str">
        <f t="shared" si="0"/>
        <v>England</v>
      </c>
      <c r="C80" s="64">
        <f t="shared" si="1"/>
        <v>6.6066066066066062E-2</v>
      </c>
      <c r="D80" s="64">
        <f t="shared" si="2"/>
        <v>3.6036036036036036E-2</v>
      </c>
      <c r="E80" s="64">
        <f t="shared" si="3"/>
        <v>0.2072072072072072</v>
      </c>
      <c r="F80" s="64">
        <f t="shared" si="4"/>
        <v>0.48798798798798798</v>
      </c>
      <c r="G80" s="64">
        <f t="shared" si="5"/>
        <v>0.21621621621621623</v>
      </c>
      <c r="H80" s="68">
        <f t="shared" si="6"/>
        <v>666</v>
      </c>
    </row>
    <row r="81" spans="2:8">
      <c r="B81" s="66" t="str">
        <f t="shared" si="0"/>
        <v>India</v>
      </c>
      <c r="C81" s="54">
        <f t="shared" si="1"/>
        <v>0.13050075872534142</v>
      </c>
      <c r="D81" s="54">
        <f t="shared" si="2"/>
        <v>4.2488619119878605E-2</v>
      </c>
      <c r="E81" s="54">
        <f t="shared" si="3"/>
        <v>0.66464339908952963</v>
      </c>
      <c r="F81" s="54">
        <f t="shared" si="4"/>
        <v>0.15477996965098634</v>
      </c>
      <c r="G81" s="54">
        <f t="shared" si="5"/>
        <v>1.6691957511380879E-2</v>
      </c>
      <c r="H81" s="67">
        <f t="shared" si="6"/>
        <v>659</v>
      </c>
    </row>
    <row r="82" spans="2:8">
      <c r="B82" s="63" t="str">
        <f t="shared" si="0"/>
        <v>Philippines</v>
      </c>
      <c r="C82" s="64">
        <f t="shared" si="1"/>
        <v>8.0412371134020624E-2</v>
      </c>
      <c r="D82" s="64">
        <f t="shared" si="2"/>
        <v>0.16494845360824742</v>
      </c>
      <c r="E82" s="64">
        <f t="shared" si="3"/>
        <v>0.44123711340206184</v>
      </c>
      <c r="F82" s="64">
        <f t="shared" si="4"/>
        <v>0.28865979381443296</v>
      </c>
      <c r="G82" s="64">
        <f t="shared" si="5"/>
        <v>2.268041237113402E-2</v>
      </c>
      <c r="H82" s="68">
        <f t="shared" si="6"/>
        <v>485</v>
      </c>
    </row>
    <row r="83" spans="2:8">
      <c r="B83" s="66" t="str">
        <f t="shared" si="0"/>
        <v>Zimbabwe</v>
      </c>
      <c r="C83" s="54">
        <f t="shared" si="1"/>
        <v>0.1891891891891892</v>
      </c>
      <c r="D83" s="54">
        <f t="shared" si="2"/>
        <v>8.1081081081081086E-2</v>
      </c>
      <c r="E83" s="54">
        <f t="shared" si="3"/>
        <v>0.50270270270270268</v>
      </c>
      <c r="F83" s="54">
        <f t="shared" si="4"/>
        <v>0.24324324324324326</v>
      </c>
      <c r="G83" s="54">
        <f t="shared" si="5"/>
        <v>1.6216216216216217E-2</v>
      </c>
      <c r="H83" s="67">
        <f t="shared" si="6"/>
        <v>185</v>
      </c>
    </row>
    <row r="84" spans="2:8">
      <c r="B84" s="63" t="str">
        <f t="shared" si="0"/>
        <v>South Africa</v>
      </c>
      <c r="C84" s="64">
        <f t="shared" si="1"/>
        <v>0.1310344827586207</v>
      </c>
      <c r="D84" s="64">
        <f t="shared" si="2"/>
        <v>0.1103448275862069</v>
      </c>
      <c r="E84" s="64">
        <f t="shared" si="3"/>
        <v>0.41379310344827586</v>
      </c>
      <c r="F84" s="64">
        <f t="shared" si="4"/>
        <v>0.27586206896551724</v>
      </c>
      <c r="G84" s="64">
        <f t="shared" si="5"/>
        <v>6.8965517241379309E-2</v>
      </c>
      <c r="H84" s="68">
        <f t="shared" si="6"/>
        <v>145</v>
      </c>
    </row>
    <row r="85" spans="2:8">
      <c r="B85" s="66" t="str">
        <f t="shared" si="0"/>
        <v>Germany</v>
      </c>
      <c r="C85" s="54">
        <f t="shared" si="1"/>
        <v>0</v>
      </c>
      <c r="D85" s="54">
        <f t="shared" si="2"/>
        <v>2.5210084033613446E-2</v>
      </c>
      <c r="E85" s="54">
        <f t="shared" si="3"/>
        <v>0.27731092436974791</v>
      </c>
      <c r="F85" s="54">
        <f t="shared" si="4"/>
        <v>0.33613445378151263</v>
      </c>
      <c r="G85" s="54">
        <f t="shared" si="5"/>
        <v>0.33613445378151263</v>
      </c>
      <c r="H85" s="67">
        <f t="shared" si="6"/>
        <v>119</v>
      </c>
    </row>
    <row r="86" spans="2:8">
      <c r="B86" s="63" t="str">
        <f t="shared" si="0"/>
        <v>Taiwan</v>
      </c>
      <c r="C86" s="64">
        <f t="shared" si="1"/>
        <v>0</v>
      </c>
      <c r="D86" s="64">
        <f t="shared" si="2"/>
        <v>0.17757009345794392</v>
      </c>
      <c r="E86" s="64">
        <f t="shared" si="3"/>
        <v>0.7289719626168224</v>
      </c>
      <c r="F86" s="64">
        <f t="shared" si="4"/>
        <v>0.12149532710280374</v>
      </c>
      <c r="G86" s="64">
        <f t="shared" si="5"/>
        <v>2.8037383177570093E-2</v>
      </c>
      <c r="H86" s="68">
        <f t="shared" si="6"/>
        <v>107</v>
      </c>
    </row>
    <row r="87" spans="2:8">
      <c r="B87" s="66" t="str">
        <f t="shared" si="0"/>
        <v>Sri Lanka</v>
      </c>
      <c r="C87" s="54">
        <f t="shared" si="1"/>
        <v>0.14018691588785046</v>
      </c>
      <c r="D87" s="54">
        <f t="shared" si="2"/>
        <v>8.4112149532710276E-2</v>
      </c>
      <c r="E87" s="54">
        <f t="shared" si="3"/>
        <v>0.51401869158878499</v>
      </c>
      <c r="F87" s="54">
        <f t="shared" si="4"/>
        <v>0.20560747663551401</v>
      </c>
      <c r="G87" s="54">
        <f t="shared" si="5"/>
        <v>0</v>
      </c>
      <c r="H87" s="67">
        <f t="shared" si="6"/>
        <v>107</v>
      </c>
    </row>
    <row r="88" spans="2:8">
      <c r="B88" s="69" t="s">
        <v>29</v>
      </c>
      <c r="C88" s="70">
        <f t="shared" si="1"/>
        <v>0.25547674345615468</v>
      </c>
      <c r="D88" s="70">
        <f t="shared" si="2"/>
        <v>0.12372104701525329</v>
      </c>
      <c r="E88" s="70">
        <f t="shared" si="3"/>
        <v>0.27688155169167034</v>
      </c>
      <c r="F88" s="70">
        <f t="shared" si="4"/>
        <v>0.26664992781369656</v>
      </c>
      <c r="G88" s="70">
        <f t="shared" si="5"/>
        <v>7.7521812817776661E-2</v>
      </c>
      <c r="H88" s="71">
        <f t="shared" si="6"/>
        <v>15931</v>
      </c>
    </row>
    <row r="89" spans="2:8">
      <c r="B89" s="72" t="s">
        <v>30</v>
      </c>
      <c r="C89" s="73">
        <f t="shared" si="1"/>
        <v>0.12838095238095237</v>
      </c>
      <c r="D89" s="73">
        <f t="shared" si="2"/>
        <v>8.533333333333333E-2</v>
      </c>
      <c r="E89" s="73">
        <f t="shared" si="3"/>
        <v>0.31390476190476191</v>
      </c>
      <c r="F89" s="73">
        <f t="shared" si="4"/>
        <v>0.3638095238095238</v>
      </c>
      <c r="G89" s="73">
        <f t="shared" si="5"/>
        <v>0.10666666666666667</v>
      </c>
      <c r="H89" s="74">
        <f t="shared" si="6"/>
        <v>2625</v>
      </c>
    </row>
    <row r="90" spans="2:8">
      <c r="B90" s="75" t="s">
        <v>31</v>
      </c>
      <c r="C90" s="76">
        <f t="shared" si="1"/>
        <v>8.7586641461877751E-2</v>
      </c>
      <c r="D90" s="76">
        <f t="shared" si="2"/>
        <v>8.7271581600504092E-2</v>
      </c>
      <c r="E90" s="76">
        <f t="shared" si="3"/>
        <v>0.51291745431632008</v>
      </c>
      <c r="F90" s="76">
        <f t="shared" si="4"/>
        <v>0.24574669187145556</v>
      </c>
      <c r="G90" s="76">
        <f t="shared" si="5"/>
        <v>6.5847511027095143E-2</v>
      </c>
      <c r="H90" s="77">
        <f t="shared" si="6"/>
        <v>3174</v>
      </c>
    </row>
    <row r="91" spans="2:8" s="547" customFormat="1">
      <c r="B91" s="545"/>
      <c r="C91" s="82"/>
      <c r="D91" s="82"/>
      <c r="E91" s="82"/>
      <c r="F91" s="82"/>
      <c r="G91" s="82"/>
      <c r="H91" s="546"/>
    </row>
    <row r="92" spans="2:8" ht="23.25">
      <c r="B92" s="127" t="s">
        <v>645</v>
      </c>
    </row>
    <row r="93" spans="2:8" ht="15.75">
      <c r="B93" s="150" t="s">
        <v>844</v>
      </c>
    </row>
    <row r="94" spans="2:8">
      <c r="B94" s="149" t="s">
        <v>887</v>
      </c>
    </row>
    <row r="95" spans="2:8" ht="17.100000000000001" customHeight="1">
      <c r="B95" s="151" t="s">
        <v>14</v>
      </c>
      <c r="C95" s="152" t="s">
        <v>32</v>
      </c>
      <c r="D95" s="152" t="s">
        <v>33</v>
      </c>
      <c r="E95" s="152" t="s">
        <v>34</v>
      </c>
      <c r="F95" s="152" t="s">
        <v>35</v>
      </c>
      <c r="G95" s="152">
        <v>2016</v>
      </c>
      <c r="H95" s="153" t="s">
        <v>28</v>
      </c>
    </row>
    <row r="96" spans="2:8">
      <c r="B96" s="154" t="s">
        <v>73</v>
      </c>
      <c r="C96" s="155">
        <v>161</v>
      </c>
      <c r="D96" s="155">
        <v>85</v>
      </c>
      <c r="E96" s="155">
        <v>115</v>
      </c>
      <c r="F96" s="156">
        <v>443</v>
      </c>
      <c r="G96" s="155">
        <v>29</v>
      </c>
      <c r="H96" s="157">
        <v>873</v>
      </c>
    </row>
    <row r="97" spans="1:14">
      <c r="B97" s="66" t="s">
        <v>74</v>
      </c>
      <c r="C97" s="158">
        <v>44</v>
      </c>
      <c r="D97" s="158">
        <v>25</v>
      </c>
      <c r="E97" s="158">
        <v>82</v>
      </c>
      <c r="F97" s="159">
        <v>427</v>
      </c>
      <c r="G97" s="158">
        <v>84</v>
      </c>
      <c r="H97" s="160">
        <v>677</v>
      </c>
    </row>
    <row r="98" spans="1:14">
      <c r="B98" s="63" t="s">
        <v>92</v>
      </c>
      <c r="C98" s="155">
        <v>373</v>
      </c>
      <c r="D98" s="155">
        <v>44</v>
      </c>
      <c r="E98" s="155">
        <v>77</v>
      </c>
      <c r="F98" s="156">
        <v>148</v>
      </c>
      <c r="G98" s="155">
        <v>0</v>
      </c>
      <c r="H98" s="161">
        <v>666</v>
      </c>
    </row>
    <row r="99" spans="1:14">
      <c r="B99" s="162" t="s">
        <v>75</v>
      </c>
      <c r="C99" s="158">
        <v>12</v>
      </c>
      <c r="D99" s="158">
        <v>8</v>
      </c>
      <c r="E99" s="158">
        <v>57</v>
      </c>
      <c r="F99" s="159">
        <v>539</v>
      </c>
      <c r="G99" s="158">
        <v>28</v>
      </c>
      <c r="H99" s="160">
        <v>659</v>
      </c>
    </row>
    <row r="100" spans="1:14" ht="10.5" customHeight="1">
      <c r="B100" s="154" t="s">
        <v>76</v>
      </c>
      <c r="C100" s="155">
        <v>15</v>
      </c>
      <c r="D100" s="155">
        <v>78</v>
      </c>
      <c r="E100" s="155">
        <v>44</v>
      </c>
      <c r="F100" s="156">
        <v>318</v>
      </c>
      <c r="G100" s="155">
        <v>6</v>
      </c>
      <c r="H100" s="161">
        <v>485</v>
      </c>
    </row>
    <row r="101" spans="1:14">
      <c r="B101" s="66" t="s">
        <v>77</v>
      </c>
      <c r="C101" s="158">
        <v>9</v>
      </c>
      <c r="D101" s="158">
        <v>3</v>
      </c>
      <c r="E101" s="158">
        <v>35</v>
      </c>
      <c r="F101" s="159">
        <v>134</v>
      </c>
      <c r="G101" s="158">
        <v>3</v>
      </c>
      <c r="H101" s="160">
        <v>185</v>
      </c>
    </row>
    <row r="102" spans="1:14">
      <c r="B102" s="63" t="s">
        <v>78</v>
      </c>
      <c r="C102" s="155">
        <v>7</v>
      </c>
      <c r="D102" s="155">
        <v>9</v>
      </c>
      <c r="E102" s="155">
        <v>39</v>
      </c>
      <c r="F102" s="156">
        <v>84</v>
      </c>
      <c r="G102" s="155">
        <v>0</v>
      </c>
      <c r="H102" s="161">
        <v>145</v>
      </c>
    </row>
    <row r="103" spans="1:14">
      <c r="B103" s="162" t="s">
        <v>79</v>
      </c>
      <c r="C103" s="158">
        <v>58</v>
      </c>
      <c r="D103" s="158">
        <v>9</v>
      </c>
      <c r="E103" s="158">
        <v>16</v>
      </c>
      <c r="F103" s="159">
        <v>30</v>
      </c>
      <c r="G103" s="158">
        <v>4</v>
      </c>
      <c r="H103" s="160">
        <v>119</v>
      </c>
    </row>
    <row r="104" spans="1:14">
      <c r="B104" s="63" t="s">
        <v>93</v>
      </c>
      <c r="C104" s="155">
        <v>0</v>
      </c>
      <c r="D104" s="155">
        <v>0</v>
      </c>
      <c r="E104" s="155">
        <v>20</v>
      </c>
      <c r="F104" s="156">
        <v>59</v>
      </c>
      <c r="G104" s="155">
        <v>14</v>
      </c>
      <c r="H104" s="161">
        <v>107</v>
      </c>
    </row>
    <row r="105" spans="1:14">
      <c r="B105" s="162" t="s">
        <v>80</v>
      </c>
      <c r="C105" s="158">
        <v>6</v>
      </c>
      <c r="D105" s="158">
        <v>4</v>
      </c>
      <c r="E105" s="158">
        <v>13</v>
      </c>
      <c r="F105" s="159">
        <v>78</v>
      </c>
      <c r="G105" s="158">
        <v>6</v>
      </c>
      <c r="H105" s="160">
        <v>107</v>
      </c>
    </row>
    <row r="106" spans="1:14">
      <c r="B106" s="163" t="s">
        <v>30</v>
      </c>
      <c r="C106" s="163">
        <v>713</v>
      </c>
      <c r="D106" s="163">
        <v>192</v>
      </c>
      <c r="E106" s="163">
        <v>346</v>
      </c>
      <c r="F106" s="163">
        <v>1176</v>
      </c>
      <c r="G106" s="164">
        <v>118</v>
      </c>
      <c r="H106" s="165">
        <f>C19</f>
        <v>2625</v>
      </c>
    </row>
    <row r="107" spans="1:14">
      <c r="B107" s="166" t="s">
        <v>31</v>
      </c>
      <c r="C107" s="166">
        <v>418</v>
      </c>
      <c r="D107" s="166">
        <v>225</v>
      </c>
      <c r="E107" s="166">
        <v>438</v>
      </c>
      <c r="F107" s="166">
        <v>1852</v>
      </c>
      <c r="G107" s="167">
        <v>131</v>
      </c>
      <c r="H107" s="168">
        <f>C20</f>
        <v>3174</v>
      </c>
    </row>
    <row r="108" spans="1:14">
      <c r="A108" s="170"/>
      <c r="J108" s="169"/>
      <c r="K108" s="170"/>
      <c r="L108" s="170"/>
      <c r="M108" s="170"/>
      <c r="N108" s="170"/>
    </row>
    <row r="109" spans="1:14" ht="23.25">
      <c r="B109" s="127" t="s">
        <v>646</v>
      </c>
    </row>
    <row r="110" spans="1:14" ht="15.75">
      <c r="B110" s="150" t="s">
        <v>846</v>
      </c>
    </row>
    <row r="111" spans="1:14">
      <c r="A111" s="170"/>
      <c r="B111" s="149" t="s">
        <v>845</v>
      </c>
      <c r="J111" s="169"/>
      <c r="K111" s="170"/>
      <c r="L111" s="170"/>
      <c r="M111" s="170"/>
      <c r="N111" s="170"/>
    </row>
    <row r="112" spans="1:14">
      <c r="A112" s="170"/>
      <c r="B112" s="151" t="s">
        <v>14</v>
      </c>
      <c r="C112" s="152" t="s">
        <v>32</v>
      </c>
      <c r="D112" s="152" t="s">
        <v>33</v>
      </c>
      <c r="E112" s="152" t="s">
        <v>34</v>
      </c>
      <c r="F112" s="152" t="s">
        <v>35</v>
      </c>
      <c r="G112" s="152">
        <v>2016</v>
      </c>
      <c r="H112" s="153" t="s">
        <v>28</v>
      </c>
      <c r="J112" s="169"/>
      <c r="K112" s="170"/>
      <c r="L112" s="170"/>
      <c r="M112" s="170"/>
      <c r="N112" s="170"/>
    </row>
    <row r="113" spans="1:20">
      <c r="A113" s="170"/>
      <c r="B113" s="63" t="str">
        <f t="shared" ref="B113:B122" si="7">B96</f>
        <v>New Zealand</v>
      </c>
      <c r="C113" s="64">
        <f t="shared" ref="C113:C124" si="8">IFERROR(C96/H96,"-")</f>
        <v>0.18442153493699887</v>
      </c>
      <c r="D113" s="64">
        <f t="shared" ref="D113:D124" si="9">IFERROR(D96/H96,"-")</f>
        <v>9.736540664375716E-2</v>
      </c>
      <c r="E113" s="64">
        <f t="shared" ref="E113:E124" si="10">IFERROR(E96/H96,"-")</f>
        <v>0.13172966781214204</v>
      </c>
      <c r="F113" s="64">
        <f t="shared" ref="F113:F124" si="11">IFERROR(F96/H96,"-")</f>
        <v>0.5074455899198167</v>
      </c>
      <c r="G113" s="64">
        <f t="shared" ref="G113:G124" si="12">IFERROR(G96/H96,"-")</f>
        <v>3.3218785796105384E-2</v>
      </c>
      <c r="H113" s="78">
        <f t="shared" ref="H113:H124" si="13">H96</f>
        <v>873</v>
      </c>
      <c r="J113" s="169"/>
      <c r="K113" s="170"/>
      <c r="L113" s="170"/>
      <c r="M113" s="170"/>
      <c r="N113" s="170"/>
    </row>
    <row r="114" spans="1:20">
      <c r="A114" s="170"/>
      <c r="B114" s="66" t="str">
        <f t="shared" si="7"/>
        <v>United States of America</v>
      </c>
      <c r="C114" s="54">
        <f t="shared" si="8"/>
        <v>6.4992614475627764E-2</v>
      </c>
      <c r="D114" s="54">
        <f t="shared" si="9"/>
        <v>3.6927621861152143E-2</v>
      </c>
      <c r="E114" s="54">
        <f t="shared" si="10"/>
        <v>0.12112259970457903</v>
      </c>
      <c r="F114" s="54">
        <f t="shared" si="11"/>
        <v>0.63072378138847862</v>
      </c>
      <c r="G114" s="54">
        <f t="shared" si="12"/>
        <v>0.1240768094534712</v>
      </c>
      <c r="H114" s="79">
        <f t="shared" si="13"/>
        <v>677</v>
      </c>
      <c r="J114" s="169"/>
      <c r="K114" s="170"/>
      <c r="L114" s="170"/>
      <c r="M114" s="170"/>
      <c r="N114" s="170"/>
    </row>
    <row r="115" spans="1:20">
      <c r="A115" s="170"/>
      <c r="B115" s="63" t="str">
        <f t="shared" si="7"/>
        <v>England</v>
      </c>
      <c r="C115" s="64">
        <f t="shared" si="8"/>
        <v>0.56006006006006004</v>
      </c>
      <c r="D115" s="64">
        <f t="shared" si="9"/>
        <v>6.6066066066066062E-2</v>
      </c>
      <c r="E115" s="64">
        <f t="shared" si="10"/>
        <v>0.11561561561561562</v>
      </c>
      <c r="F115" s="64">
        <f t="shared" si="11"/>
        <v>0.22222222222222221</v>
      </c>
      <c r="G115" s="64">
        <f t="shared" si="12"/>
        <v>0</v>
      </c>
      <c r="H115" s="80">
        <f t="shared" si="13"/>
        <v>666</v>
      </c>
      <c r="J115" s="169"/>
      <c r="K115" s="170"/>
      <c r="L115" s="170"/>
      <c r="M115" s="170"/>
      <c r="N115" s="170"/>
    </row>
    <row r="116" spans="1:20">
      <c r="A116" s="170"/>
      <c r="B116" s="66" t="str">
        <f t="shared" si="7"/>
        <v>India</v>
      </c>
      <c r="C116" s="54">
        <f t="shared" si="8"/>
        <v>1.8209408194233688E-2</v>
      </c>
      <c r="D116" s="54">
        <f t="shared" si="9"/>
        <v>1.2139605462822459E-2</v>
      </c>
      <c r="E116" s="54">
        <f t="shared" si="10"/>
        <v>8.6494688922610016E-2</v>
      </c>
      <c r="F116" s="54">
        <f t="shared" si="11"/>
        <v>0.81790591805766311</v>
      </c>
      <c r="G116" s="54">
        <f t="shared" si="12"/>
        <v>4.2488619119878605E-2</v>
      </c>
      <c r="H116" s="79">
        <f t="shared" si="13"/>
        <v>659</v>
      </c>
      <c r="J116" s="169"/>
      <c r="K116" s="170"/>
      <c r="L116" s="170"/>
      <c r="M116" s="170"/>
      <c r="N116" s="170"/>
    </row>
    <row r="117" spans="1:20">
      <c r="A117" s="170"/>
      <c r="B117" s="63" t="str">
        <f t="shared" si="7"/>
        <v>Philippines</v>
      </c>
      <c r="C117" s="64">
        <f t="shared" si="8"/>
        <v>3.0927835051546393E-2</v>
      </c>
      <c r="D117" s="64">
        <f t="shared" si="9"/>
        <v>0.16082474226804125</v>
      </c>
      <c r="E117" s="64">
        <f t="shared" si="10"/>
        <v>9.0721649484536079E-2</v>
      </c>
      <c r="F117" s="64">
        <f t="shared" si="11"/>
        <v>0.65567010309278351</v>
      </c>
      <c r="G117" s="64">
        <f t="shared" si="12"/>
        <v>1.2371134020618556E-2</v>
      </c>
      <c r="H117" s="80">
        <f t="shared" si="13"/>
        <v>485</v>
      </c>
      <c r="J117" s="169"/>
      <c r="K117" s="170"/>
      <c r="L117" s="170"/>
      <c r="M117" s="170"/>
      <c r="N117" s="170"/>
    </row>
    <row r="118" spans="1:20">
      <c r="A118" s="170"/>
      <c r="B118" s="66" t="str">
        <f t="shared" si="7"/>
        <v>Zimbabwe</v>
      </c>
      <c r="C118" s="54">
        <f t="shared" si="8"/>
        <v>4.8648648648648651E-2</v>
      </c>
      <c r="D118" s="54">
        <f t="shared" si="9"/>
        <v>1.6216216216216217E-2</v>
      </c>
      <c r="E118" s="54">
        <f t="shared" si="10"/>
        <v>0.1891891891891892</v>
      </c>
      <c r="F118" s="54">
        <f t="shared" si="11"/>
        <v>0.72432432432432436</v>
      </c>
      <c r="G118" s="54">
        <f t="shared" si="12"/>
        <v>1.6216216216216217E-2</v>
      </c>
      <c r="H118" s="79">
        <f t="shared" si="13"/>
        <v>185</v>
      </c>
      <c r="J118" s="169"/>
      <c r="K118" s="170"/>
      <c r="L118" s="170"/>
      <c r="M118" s="170"/>
      <c r="N118" s="170"/>
    </row>
    <row r="119" spans="1:20">
      <c r="B119" s="63" t="str">
        <f t="shared" si="7"/>
        <v>South Africa</v>
      </c>
      <c r="C119" s="64">
        <f t="shared" si="8"/>
        <v>4.8275862068965517E-2</v>
      </c>
      <c r="D119" s="64">
        <f t="shared" si="9"/>
        <v>6.2068965517241378E-2</v>
      </c>
      <c r="E119" s="64">
        <f t="shared" si="10"/>
        <v>0.26896551724137929</v>
      </c>
      <c r="F119" s="64">
        <f t="shared" si="11"/>
        <v>0.57931034482758625</v>
      </c>
      <c r="G119" s="64">
        <f t="shared" si="12"/>
        <v>0</v>
      </c>
      <c r="H119" s="80">
        <f t="shared" si="13"/>
        <v>145</v>
      </c>
      <c r="O119" s="170"/>
      <c r="P119" s="170"/>
      <c r="Q119" s="170"/>
      <c r="R119" s="170"/>
      <c r="S119" s="170"/>
      <c r="T119" s="170"/>
    </row>
    <row r="120" spans="1:20">
      <c r="B120" s="66" t="str">
        <f t="shared" si="7"/>
        <v>Germany</v>
      </c>
      <c r="C120" s="54">
        <f t="shared" si="8"/>
        <v>0.48739495798319327</v>
      </c>
      <c r="D120" s="54">
        <f t="shared" si="9"/>
        <v>7.5630252100840331E-2</v>
      </c>
      <c r="E120" s="54">
        <f t="shared" si="10"/>
        <v>0.13445378151260504</v>
      </c>
      <c r="F120" s="54">
        <f t="shared" si="11"/>
        <v>0.25210084033613445</v>
      </c>
      <c r="G120" s="54">
        <f t="shared" si="12"/>
        <v>3.3613445378151259E-2</v>
      </c>
      <c r="H120" s="79">
        <f t="shared" si="13"/>
        <v>119</v>
      </c>
    </row>
    <row r="121" spans="1:20">
      <c r="B121" s="63" t="str">
        <f t="shared" si="7"/>
        <v>Taiwan</v>
      </c>
      <c r="C121" s="64">
        <f t="shared" si="8"/>
        <v>0</v>
      </c>
      <c r="D121" s="64">
        <f t="shared" si="9"/>
        <v>0</v>
      </c>
      <c r="E121" s="64">
        <f t="shared" si="10"/>
        <v>0.18691588785046728</v>
      </c>
      <c r="F121" s="64">
        <f t="shared" si="11"/>
        <v>0.55140186915887845</v>
      </c>
      <c r="G121" s="64">
        <f t="shared" si="12"/>
        <v>0.13084112149532709</v>
      </c>
      <c r="H121" s="80">
        <f t="shared" si="13"/>
        <v>107</v>
      </c>
    </row>
    <row r="122" spans="1:20">
      <c r="B122" s="81" t="str">
        <f t="shared" si="7"/>
        <v>Sri Lanka</v>
      </c>
      <c r="C122" s="82">
        <f t="shared" si="8"/>
        <v>5.6074766355140186E-2</v>
      </c>
      <c r="D122" s="82">
        <f t="shared" si="9"/>
        <v>3.7383177570093455E-2</v>
      </c>
      <c r="E122" s="82">
        <f t="shared" si="10"/>
        <v>0.12149532710280374</v>
      </c>
      <c r="F122" s="82">
        <f t="shared" si="11"/>
        <v>0.7289719626168224</v>
      </c>
      <c r="G122" s="82">
        <f t="shared" si="12"/>
        <v>5.6074766355140186E-2</v>
      </c>
      <c r="H122" s="83">
        <f t="shared" si="13"/>
        <v>107</v>
      </c>
    </row>
    <row r="123" spans="1:20">
      <c r="B123" s="72" t="s">
        <v>30</v>
      </c>
      <c r="C123" s="73">
        <f t="shared" si="8"/>
        <v>0.27161904761904759</v>
      </c>
      <c r="D123" s="73">
        <f t="shared" si="9"/>
        <v>7.3142857142857148E-2</v>
      </c>
      <c r="E123" s="73">
        <f t="shared" si="10"/>
        <v>0.13180952380952382</v>
      </c>
      <c r="F123" s="73">
        <f t="shared" si="11"/>
        <v>0.44800000000000001</v>
      </c>
      <c r="G123" s="73">
        <f t="shared" si="12"/>
        <v>4.4952380952380952E-2</v>
      </c>
      <c r="H123" s="84">
        <f t="shared" si="13"/>
        <v>2625</v>
      </c>
    </row>
    <row r="124" spans="1:20">
      <c r="B124" s="75" t="s">
        <v>31</v>
      </c>
      <c r="C124" s="76">
        <f t="shared" si="8"/>
        <v>0.13169502205419029</v>
      </c>
      <c r="D124" s="76">
        <f t="shared" si="9"/>
        <v>7.0888468809073721E-2</v>
      </c>
      <c r="E124" s="76">
        <f t="shared" si="10"/>
        <v>0.13799621928166353</v>
      </c>
      <c r="F124" s="76">
        <f t="shared" si="11"/>
        <v>0.58349086326402011</v>
      </c>
      <c r="G124" s="76">
        <f t="shared" si="12"/>
        <v>4.1272841839949594E-2</v>
      </c>
      <c r="H124" s="85">
        <f t="shared" si="13"/>
        <v>3174</v>
      </c>
    </row>
    <row r="125" spans="1:20">
      <c r="A125" s="170"/>
      <c r="J125" s="169"/>
      <c r="K125" s="170"/>
      <c r="L125" s="170"/>
      <c r="M125" s="170"/>
      <c r="N125" s="170"/>
    </row>
    <row r="126" spans="1:20" ht="23.25">
      <c r="B126" s="127" t="s">
        <v>647</v>
      </c>
    </row>
    <row r="127" spans="1:20" ht="15.75">
      <c r="B127" s="150" t="s">
        <v>331</v>
      </c>
    </row>
    <row r="128" spans="1:20" ht="25.5">
      <c r="B128" s="151" t="s">
        <v>36</v>
      </c>
      <c r="C128" s="152" t="s">
        <v>37</v>
      </c>
      <c r="D128" s="152" t="s">
        <v>38</v>
      </c>
      <c r="E128" s="152" t="s">
        <v>6</v>
      </c>
      <c r="F128" s="152" t="s">
        <v>39</v>
      </c>
      <c r="G128" s="152" t="s">
        <v>7</v>
      </c>
      <c r="H128" s="548" t="s">
        <v>40</v>
      </c>
    </row>
    <row r="129" spans="2:8">
      <c r="B129" s="92" t="s">
        <v>95</v>
      </c>
      <c r="C129" s="92">
        <v>597</v>
      </c>
      <c r="D129" s="92">
        <v>759</v>
      </c>
      <c r="E129" s="92">
        <v>1354</v>
      </c>
      <c r="F129" s="86">
        <f>SUM(Table792226822[[#This Row],[Persons]]/$E$160)</f>
        <v>0.28845334469535577</v>
      </c>
      <c r="G129" s="92">
        <v>1620</v>
      </c>
      <c r="H129" s="87">
        <f>IFERROR((Table792226822[[#This Row],[Persons]]-Table792226822[[#This Row],[2011 Census]])/Table792226822[[#This Row],[2011 Census]],"..")</f>
        <v>-0.16419753086419753</v>
      </c>
    </row>
    <row r="130" spans="2:8">
      <c r="B130" s="549" t="s">
        <v>47</v>
      </c>
      <c r="C130" s="549">
        <v>201</v>
      </c>
      <c r="D130" s="549">
        <v>200</v>
      </c>
      <c r="E130" s="549">
        <v>405</v>
      </c>
      <c r="F130" s="88">
        <f>SUM(Table792226822[[#This Row],[Persons]]/$E$160)</f>
        <v>8.6280357903706861E-2</v>
      </c>
      <c r="G130" s="549">
        <v>247</v>
      </c>
      <c r="H130" s="89">
        <f>IFERROR((Table792226822[[#This Row],[Persons]]-Table792226822[[#This Row],[2011 Census]])/Table792226822[[#This Row],[2011 Census]],"..")</f>
        <v>0.63967611336032393</v>
      </c>
    </row>
    <row r="131" spans="2:8">
      <c r="B131" s="92" t="s">
        <v>52</v>
      </c>
      <c r="C131" s="92">
        <v>101</v>
      </c>
      <c r="D131" s="92">
        <v>132</v>
      </c>
      <c r="E131" s="92">
        <v>228</v>
      </c>
      <c r="F131" s="90">
        <f>SUM(Table792226822[[#This Row],[Persons]]/$E$160)</f>
        <v>4.8572645930975711E-2</v>
      </c>
      <c r="G131" s="92">
        <v>145</v>
      </c>
      <c r="H131" s="87">
        <f>IFERROR((Table792226822[[#This Row],[Persons]]-Table792226822[[#This Row],[2011 Census]])/Table792226822[[#This Row],[2011 Census]],"..")</f>
        <v>0.57241379310344831</v>
      </c>
    </row>
    <row r="132" spans="2:8">
      <c r="B132" s="549" t="s">
        <v>53</v>
      </c>
      <c r="C132" s="549">
        <v>85</v>
      </c>
      <c r="D132" s="549">
        <v>109</v>
      </c>
      <c r="E132" s="549">
        <v>200</v>
      </c>
      <c r="F132" s="88">
        <f>SUM(Table792226822[[#This Row],[Persons]]/$E$160)</f>
        <v>4.2607584149978693E-2</v>
      </c>
      <c r="G132" s="549">
        <v>114</v>
      </c>
      <c r="H132" s="89">
        <f>IFERROR((Table792226822[[#This Row],[Persons]]-Table792226822[[#This Row],[2011 Census]])/Table792226822[[#This Row],[2011 Census]],"..")</f>
        <v>0.75438596491228072</v>
      </c>
    </row>
    <row r="133" spans="2:8">
      <c r="B133" s="92" t="s">
        <v>54</v>
      </c>
      <c r="C133" s="92">
        <v>88</v>
      </c>
      <c r="D133" s="92">
        <v>96</v>
      </c>
      <c r="E133" s="92">
        <v>187</v>
      </c>
      <c r="F133" s="90">
        <f>SUM(Table792226822[[#This Row],[Persons]]/$E$160)</f>
        <v>3.983809118023008E-2</v>
      </c>
      <c r="G133" s="92">
        <v>132</v>
      </c>
      <c r="H133" s="87">
        <f>IFERROR((Table792226822[[#This Row],[Persons]]-Table792226822[[#This Row],[2011 Census]])/Table792226822[[#This Row],[2011 Census]],"..")</f>
        <v>0.41666666666666669</v>
      </c>
    </row>
    <row r="134" spans="2:8">
      <c r="B134" s="549" t="s">
        <v>55</v>
      </c>
      <c r="C134" s="549">
        <v>87</v>
      </c>
      <c r="D134" s="549">
        <v>78</v>
      </c>
      <c r="E134" s="549">
        <v>167</v>
      </c>
      <c r="F134" s="88">
        <f>SUM(Table792226822[[#This Row],[Persons]]/$E$160)</f>
        <v>3.5577332765232214E-2</v>
      </c>
      <c r="G134" s="549">
        <v>50</v>
      </c>
      <c r="H134" s="89">
        <f>IFERROR((Table792226822[[#This Row],[Persons]]-Table792226822[[#This Row],[2011 Census]])/Table792226822[[#This Row],[2011 Census]],"..")</f>
        <v>2.34</v>
      </c>
    </row>
    <row r="135" spans="2:8">
      <c r="B135" s="92" t="s">
        <v>96</v>
      </c>
      <c r="C135" s="92">
        <v>85</v>
      </c>
      <c r="D135" s="92">
        <v>62</v>
      </c>
      <c r="E135" s="92">
        <v>146</v>
      </c>
      <c r="F135" s="90">
        <f>SUM(Table792226822[[#This Row],[Persons]]/$E$160)</f>
        <v>3.1103536429484449E-2</v>
      </c>
      <c r="G135" s="92">
        <v>114</v>
      </c>
      <c r="H135" s="87">
        <f>IFERROR((Table792226822[[#This Row],[Persons]]-Table792226822[[#This Row],[2011 Census]])/Table792226822[[#This Row],[2011 Census]],"..")</f>
        <v>0.2807017543859649</v>
      </c>
    </row>
    <row r="136" spans="2:8">
      <c r="B136" s="549" t="s">
        <v>97</v>
      </c>
      <c r="C136" s="549">
        <v>49</v>
      </c>
      <c r="D136" s="549">
        <v>68</v>
      </c>
      <c r="E136" s="549">
        <v>119</v>
      </c>
      <c r="F136" s="88">
        <f>SUM(Table792226822[[#This Row],[Persons]]/$E$160)</f>
        <v>2.5351512569237324E-2</v>
      </c>
      <c r="G136" s="549">
        <v>119</v>
      </c>
      <c r="H136" s="89">
        <f>IFERROR((Table792226822[[#This Row],[Persons]]-Table792226822[[#This Row],[2011 Census]])/Table792226822[[#This Row],[2011 Census]],"..")</f>
        <v>0</v>
      </c>
    </row>
    <row r="137" spans="2:8">
      <c r="B137" s="92" t="s">
        <v>189</v>
      </c>
      <c r="C137" s="92">
        <v>58</v>
      </c>
      <c r="D137" s="92">
        <v>50</v>
      </c>
      <c r="E137" s="92">
        <v>103</v>
      </c>
      <c r="F137" s="90">
        <f>SUM(Table792226822[[#This Row],[Persons]]/$E$160)</f>
        <v>2.194290583723903E-2</v>
      </c>
      <c r="G137" s="92">
        <v>102</v>
      </c>
      <c r="H137" s="87">
        <f>IFERROR((Table792226822[[#This Row],[Persons]]-Table792226822[[#This Row],[2011 Census]])/Table792226822[[#This Row],[2011 Census]],"..")</f>
        <v>9.8039215686274508E-3</v>
      </c>
    </row>
    <row r="138" spans="2:8">
      <c r="B138" s="549" t="s">
        <v>98</v>
      </c>
      <c r="C138" s="549">
        <v>50</v>
      </c>
      <c r="D138" s="549">
        <v>44</v>
      </c>
      <c r="E138" s="549">
        <v>93</v>
      </c>
      <c r="F138" s="88">
        <f>SUM(Table792226822[[#This Row],[Persons]]/$E$160)</f>
        <v>1.9812526629740094E-2</v>
      </c>
      <c r="G138" s="549">
        <v>102</v>
      </c>
      <c r="H138" s="89">
        <f>IFERROR((Table792226822[[#This Row],[Persons]]-Table792226822[[#This Row],[2011 Census]])/Table792226822[[#This Row],[2011 Census]],"..")</f>
        <v>-8.8235294117647065E-2</v>
      </c>
    </row>
    <row r="139" spans="2:8">
      <c r="B139" s="92" t="s">
        <v>99</v>
      </c>
      <c r="C139" s="92">
        <v>45</v>
      </c>
      <c r="D139" s="92">
        <v>39</v>
      </c>
      <c r="E139" s="92">
        <v>89</v>
      </c>
      <c r="F139" s="90">
        <f>SUM(Table792226822[[#This Row],[Persons]]/$E$160)</f>
        <v>1.8960374946740521E-2</v>
      </c>
      <c r="G139" s="92">
        <v>61</v>
      </c>
      <c r="H139" s="87">
        <f>IFERROR((Table792226822[[#This Row],[Persons]]-Table792226822[[#This Row],[2011 Census]])/Table792226822[[#This Row],[2011 Census]],"..")</f>
        <v>0.45901639344262296</v>
      </c>
    </row>
    <row r="140" spans="2:8">
      <c r="B140" s="549" t="s">
        <v>100</v>
      </c>
      <c r="C140" s="549">
        <v>40</v>
      </c>
      <c r="D140" s="549">
        <v>40</v>
      </c>
      <c r="E140" s="549">
        <v>84</v>
      </c>
      <c r="F140" s="88">
        <f>SUM(Table792226822[[#This Row],[Persons]]/$E$160)</f>
        <v>1.7895185342991053E-2</v>
      </c>
      <c r="G140" s="549">
        <v>66</v>
      </c>
      <c r="H140" s="89">
        <f>IFERROR((Table792226822[[#This Row],[Persons]]-Table792226822[[#This Row],[2011 Census]])/Table792226822[[#This Row],[2011 Census]],"..")</f>
        <v>0.27272727272727271</v>
      </c>
    </row>
    <row r="141" spans="2:8">
      <c r="B141" s="92" t="s">
        <v>102</v>
      </c>
      <c r="C141" s="92">
        <v>32</v>
      </c>
      <c r="D141" s="92">
        <v>35</v>
      </c>
      <c r="E141" s="92">
        <v>72</v>
      </c>
      <c r="F141" s="90">
        <f>SUM(Table792226822[[#This Row],[Persons]]/$E$160)</f>
        <v>1.5338730293992331E-2</v>
      </c>
      <c r="G141" s="92">
        <v>46</v>
      </c>
      <c r="H141" s="87">
        <f>IFERROR((Table792226822[[#This Row],[Persons]]-Table792226822[[#This Row],[2011 Census]])/Table792226822[[#This Row],[2011 Census]],"..")</f>
        <v>0.56521739130434778</v>
      </c>
    </row>
    <row r="142" spans="2:8">
      <c r="B142" s="549" t="s">
        <v>101</v>
      </c>
      <c r="C142" s="549">
        <v>31</v>
      </c>
      <c r="D142" s="549">
        <v>45</v>
      </c>
      <c r="E142" s="549">
        <v>70</v>
      </c>
      <c r="F142" s="88">
        <f>SUM(Table792226822[[#This Row],[Persons]]/$E$160)</f>
        <v>1.4912654452492544E-2</v>
      </c>
      <c r="G142" s="549">
        <v>59</v>
      </c>
      <c r="H142" s="89">
        <f>IFERROR((Table792226822[[#This Row],[Persons]]-Table792226822[[#This Row],[2011 Census]])/Table792226822[[#This Row],[2011 Census]],"..")</f>
        <v>0.1864406779661017</v>
      </c>
    </row>
    <row r="143" spans="2:8">
      <c r="B143" s="92" t="s">
        <v>103</v>
      </c>
      <c r="C143" s="92">
        <v>33</v>
      </c>
      <c r="D143" s="92">
        <v>33</v>
      </c>
      <c r="E143" s="92">
        <v>65</v>
      </c>
      <c r="F143" s="90">
        <f>SUM(Table792226822[[#This Row],[Persons]]/$E$160)</f>
        <v>1.3847464848743076E-2</v>
      </c>
      <c r="G143" s="92">
        <v>47</v>
      </c>
      <c r="H143" s="87">
        <f>IFERROR((Table792226822[[#This Row],[Persons]]-Table792226822[[#This Row],[2011 Census]])/Table792226822[[#This Row],[2011 Census]],"..")</f>
        <v>0.38297872340425532</v>
      </c>
    </row>
    <row r="144" spans="2:8">
      <c r="B144" s="549" t="s">
        <v>105</v>
      </c>
      <c r="C144" s="549">
        <v>27</v>
      </c>
      <c r="D144" s="549">
        <v>32</v>
      </c>
      <c r="E144" s="549">
        <v>61</v>
      </c>
      <c r="F144" s="88">
        <f>SUM(Table792226822[[#This Row],[Persons]]/$E$160)</f>
        <v>1.2995313165743502E-2</v>
      </c>
      <c r="G144" s="549">
        <v>58</v>
      </c>
      <c r="H144" s="89">
        <f>IFERROR((Table792226822[[#This Row],[Persons]]-Table792226822[[#This Row],[2011 Census]])/Table792226822[[#This Row],[2011 Census]],"..")</f>
        <v>5.1724137931034482E-2</v>
      </c>
    </row>
    <row r="145" spans="2:8">
      <c r="B145" s="92" t="s">
        <v>148</v>
      </c>
      <c r="C145" s="92">
        <v>30</v>
      </c>
      <c r="D145" s="92">
        <v>30</v>
      </c>
      <c r="E145" s="92">
        <v>59</v>
      </c>
      <c r="F145" s="90">
        <f>SUM(Table792226822[[#This Row],[Persons]]/$E$160)</f>
        <v>1.2569237324243716E-2</v>
      </c>
      <c r="G145" s="92">
        <v>43</v>
      </c>
      <c r="H145" s="87">
        <f>IFERROR((Table792226822[[#This Row],[Persons]]-Table792226822[[#This Row],[2011 Census]])/Table792226822[[#This Row],[2011 Census]],"..")</f>
        <v>0.37209302325581395</v>
      </c>
    </row>
    <row r="146" spans="2:8">
      <c r="B146" s="549" t="s">
        <v>106</v>
      </c>
      <c r="C146" s="549">
        <v>31</v>
      </c>
      <c r="D146" s="549">
        <v>25</v>
      </c>
      <c r="E146" s="549">
        <v>57</v>
      </c>
      <c r="F146" s="88">
        <f>SUM(Table792226822[[#This Row],[Persons]]/$E$160)</f>
        <v>1.2143161482743928E-2</v>
      </c>
      <c r="G146" s="549">
        <v>26</v>
      </c>
      <c r="H146" s="89">
        <f>IFERROR((Table792226822[[#This Row],[Persons]]-Table792226822[[#This Row],[2011 Census]])/Table792226822[[#This Row],[2011 Census]],"..")</f>
        <v>1.1923076923076923</v>
      </c>
    </row>
    <row r="147" spans="2:8">
      <c r="B147" s="92" t="s">
        <v>104</v>
      </c>
      <c r="C147" s="92">
        <v>29</v>
      </c>
      <c r="D147" s="92">
        <v>32</v>
      </c>
      <c r="E147" s="92">
        <v>57</v>
      </c>
      <c r="F147" s="90">
        <f>SUM(Table792226822[[#This Row],[Persons]]/$E$160)</f>
        <v>1.2143161482743928E-2</v>
      </c>
      <c r="G147" s="92">
        <v>63</v>
      </c>
      <c r="H147" s="87">
        <f>IFERROR((Table792226822[[#This Row],[Persons]]-Table792226822[[#This Row],[2011 Census]])/Table792226822[[#This Row],[2011 Census]],"..")</f>
        <v>-9.5238095238095233E-2</v>
      </c>
    </row>
    <row r="148" spans="2:8">
      <c r="B148" s="549" t="s">
        <v>107</v>
      </c>
      <c r="C148" s="549">
        <v>14</v>
      </c>
      <c r="D148" s="549">
        <v>35</v>
      </c>
      <c r="E148" s="549">
        <v>55</v>
      </c>
      <c r="F148" s="88">
        <f>SUM(Table792226822[[#This Row],[Persons]]/$E$160)</f>
        <v>1.1717085641244141E-2</v>
      </c>
      <c r="G148" s="549">
        <v>31</v>
      </c>
      <c r="H148" s="89">
        <f>IFERROR((Table792226822[[#This Row],[Persons]]-Table792226822[[#This Row],[2011 Census]])/Table792226822[[#This Row],[2011 Census]],"..")</f>
        <v>0.77419354838709675</v>
      </c>
    </row>
    <row r="149" spans="2:8">
      <c r="B149" s="92" t="s">
        <v>108</v>
      </c>
      <c r="C149" s="92">
        <v>19</v>
      </c>
      <c r="D149" s="92">
        <v>32</v>
      </c>
      <c r="E149" s="92">
        <v>54</v>
      </c>
      <c r="F149" s="90">
        <f>SUM(Table792226822[[#This Row],[Persons]]/$E$160)</f>
        <v>1.1504047720494247E-2</v>
      </c>
      <c r="G149" s="92">
        <v>48</v>
      </c>
      <c r="H149" s="87">
        <f>IFERROR((Table792226822[[#This Row],[Persons]]-Table792226822[[#This Row],[2011 Census]])/Table792226822[[#This Row],[2011 Census]],"..")</f>
        <v>0.125</v>
      </c>
    </row>
    <row r="150" spans="2:8">
      <c r="B150" s="549" t="s">
        <v>190</v>
      </c>
      <c r="C150" s="549">
        <v>33</v>
      </c>
      <c r="D150" s="549">
        <v>22</v>
      </c>
      <c r="E150" s="549">
        <v>52</v>
      </c>
      <c r="F150" s="88">
        <f>SUM(Table792226822[[#This Row],[Persons]]/$E$160)</f>
        <v>1.1077971878994461E-2</v>
      </c>
      <c r="G150" s="549">
        <v>28</v>
      </c>
      <c r="H150" s="89">
        <f>IFERROR((Table792226822[[#This Row],[Persons]]-Table792226822[[#This Row],[2011 Census]])/Table792226822[[#This Row],[2011 Census]],"..")</f>
        <v>0.8571428571428571</v>
      </c>
    </row>
    <row r="151" spans="2:8">
      <c r="B151" s="92" t="s">
        <v>191</v>
      </c>
      <c r="C151" s="92">
        <v>21</v>
      </c>
      <c r="D151" s="92">
        <v>24</v>
      </c>
      <c r="E151" s="92">
        <v>45</v>
      </c>
      <c r="F151" s="90">
        <f>SUM(Table792226822[[#This Row],[Persons]]/$E$160)</f>
        <v>9.5867064337452068E-3</v>
      </c>
      <c r="G151" s="92">
        <v>11</v>
      </c>
      <c r="H151" s="87">
        <f>IFERROR((Table792226822[[#This Row],[Persons]]-Table792226822[[#This Row],[2011 Census]])/Table792226822[[#This Row],[2011 Census]],"..")</f>
        <v>3.0909090909090908</v>
      </c>
    </row>
    <row r="152" spans="2:8">
      <c r="B152" s="549" t="s">
        <v>110</v>
      </c>
      <c r="C152" s="549">
        <v>23</v>
      </c>
      <c r="D152" s="549">
        <v>17</v>
      </c>
      <c r="E152" s="549">
        <v>42</v>
      </c>
      <c r="F152" s="88">
        <f>SUM(Table792226822[[#This Row],[Persons]]/$E$160)</f>
        <v>8.9475926714955266E-3</v>
      </c>
      <c r="G152" s="549">
        <v>19</v>
      </c>
      <c r="H152" s="89">
        <f>IFERROR((Table792226822[[#This Row],[Persons]]-Table792226822[[#This Row],[2011 Census]])/Table792226822[[#This Row],[2011 Census]],"..")</f>
        <v>1.2105263157894737</v>
      </c>
    </row>
    <row r="153" spans="2:8">
      <c r="B153" s="92" t="s">
        <v>109</v>
      </c>
      <c r="C153" s="92">
        <v>18</v>
      </c>
      <c r="D153" s="92">
        <v>21</v>
      </c>
      <c r="E153" s="92">
        <v>42</v>
      </c>
      <c r="F153" s="90">
        <f>SUM(Table792226822[[#This Row],[Persons]]/$E$160)</f>
        <v>8.9475926714955266E-3</v>
      </c>
      <c r="G153" s="92">
        <v>61</v>
      </c>
      <c r="H153" s="87">
        <f>IFERROR((Table792226822[[#This Row],[Persons]]-Table792226822[[#This Row],[2011 Census]])/Table792226822[[#This Row],[2011 Census]],"..")</f>
        <v>-0.31147540983606559</v>
      </c>
    </row>
    <row r="154" spans="2:8">
      <c r="B154" s="549" t="s">
        <v>111</v>
      </c>
      <c r="C154" s="549">
        <v>26</v>
      </c>
      <c r="D154" s="549">
        <v>10</v>
      </c>
      <c r="E154" s="549">
        <v>35</v>
      </c>
      <c r="F154" s="88">
        <f>SUM(Table792226822[[#This Row],[Persons]]/$E$160)</f>
        <v>7.4563272262462722E-3</v>
      </c>
      <c r="G154" s="549">
        <v>50</v>
      </c>
      <c r="H154" s="89">
        <f>IFERROR((Table792226822[[#This Row],[Persons]]-Table792226822[[#This Row],[2011 Census]])/Table792226822[[#This Row],[2011 Census]],"..")</f>
        <v>-0.3</v>
      </c>
    </row>
    <row r="155" spans="2:8">
      <c r="B155" s="92" t="s">
        <v>192</v>
      </c>
      <c r="C155" s="92">
        <v>16</v>
      </c>
      <c r="D155" s="92">
        <v>17</v>
      </c>
      <c r="E155" s="92">
        <v>34</v>
      </c>
      <c r="F155" s="90">
        <f>SUM(Table792226822[[#This Row],[Persons]]/$E$160)</f>
        <v>7.2432893054963782E-3</v>
      </c>
      <c r="G155" s="92">
        <v>19</v>
      </c>
      <c r="H155" s="87">
        <f>IFERROR((Table792226822[[#This Row],[Persons]]-Table792226822[[#This Row],[2011 Census]])/Table792226822[[#This Row],[2011 Census]],"..")</f>
        <v>0.78947368421052633</v>
      </c>
    </row>
    <row r="156" spans="2:8">
      <c r="B156" s="549" t="s">
        <v>193</v>
      </c>
      <c r="C156" s="549">
        <v>16</v>
      </c>
      <c r="D156" s="549">
        <v>23</v>
      </c>
      <c r="E156" s="549">
        <v>31</v>
      </c>
      <c r="F156" s="88">
        <f>SUM(Table792226822[[#This Row],[Persons]]/$E$160)</f>
        <v>6.6041755432466979E-3</v>
      </c>
      <c r="G156" s="549">
        <v>8</v>
      </c>
      <c r="H156" s="89">
        <f>IFERROR((Table792226822[[#This Row],[Persons]]-Table792226822[[#This Row],[2011 Census]])/Table792226822[[#This Row],[2011 Census]],"..")</f>
        <v>2.875</v>
      </c>
    </row>
    <row r="157" spans="2:8">
      <c r="B157" s="92" t="s">
        <v>112</v>
      </c>
      <c r="C157" s="92">
        <v>17</v>
      </c>
      <c r="D157" s="92">
        <v>9</v>
      </c>
      <c r="E157" s="92">
        <v>30</v>
      </c>
      <c r="F157" s="90">
        <f>SUM(Table792226822[[#This Row],[Persons]]/$E$160)</f>
        <v>6.3911376224968048E-3</v>
      </c>
      <c r="G157" s="92">
        <v>9</v>
      </c>
      <c r="H157" s="87">
        <f>IFERROR((Table792226822[[#This Row],[Persons]]-Table792226822[[#This Row],[2011 Census]])/Table792226822[[#This Row],[2011 Census]],"..")</f>
        <v>2.3333333333333335</v>
      </c>
    </row>
    <row r="158" spans="2:8">
      <c r="B158" s="549" t="s">
        <v>194</v>
      </c>
      <c r="C158" s="549">
        <v>14</v>
      </c>
      <c r="D158" s="549">
        <v>16</v>
      </c>
      <c r="E158" s="549">
        <v>30</v>
      </c>
      <c r="F158" s="88">
        <f>SUM(Table792226822[[#This Row],[Persons]]/$E$160)</f>
        <v>6.3911376224968048E-3</v>
      </c>
      <c r="G158" s="549">
        <v>0</v>
      </c>
      <c r="H158" s="91" t="str">
        <f>IFERROR((Table792226822[[#This Row],[Persons]]-Table792226822[[#This Row],[2011 Census]])/Table792226822[[#This Row],[2011 Census]],"..")</f>
        <v>..</v>
      </c>
    </row>
    <row r="159" spans="2:8" s="547" customFormat="1">
      <c r="B159" s="92" t="s">
        <v>41</v>
      </c>
      <c r="C159" s="92">
        <f>C160-SUM(C129:C158)</f>
        <v>288</v>
      </c>
      <c r="D159" s="92">
        <f t="shared" ref="D159:E159" si="14">(D160-SUM(D129:D158))</f>
        <v>359</v>
      </c>
      <c r="E159" s="92">
        <f t="shared" si="14"/>
        <v>628</v>
      </c>
      <c r="F159" s="90">
        <f>SUM(E159/$E$160)</f>
        <v>0.13378781423093311</v>
      </c>
      <c r="G159" s="93">
        <f>G160-SUM(Table792226822[2011 Census])</f>
        <v>557</v>
      </c>
      <c r="H159" s="87">
        <f>IFERROR((E159-G159)/G159,"..")</f>
        <v>0.12746858168761221</v>
      </c>
    </row>
    <row r="160" spans="2:8">
      <c r="B160" s="550" t="s">
        <v>872</v>
      </c>
      <c r="C160" s="551">
        <v>2204</v>
      </c>
      <c r="D160" s="551">
        <v>2494</v>
      </c>
      <c r="E160" s="94">
        <f>C23</f>
        <v>4694</v>
      </c>
      <c r="F160" s="552">
        <v>1</v>
      </c>
      <c r="G160" s="94">
        <f>E23</f>
        <v>4055</v>
      </c>
      <c r="H160" s="95">
        <f>IFERROR((E160-G160)/G160,"..")</f>
        <v>0.15758323057953144</v>
      </c>
    </row>
    <row r="161" spans="2:9">
      <c r="B161" s="389" t="s">
        <v>873</v>
      </c>
      <c r="C161" s="180"/>
      <c r="D161" s="180"/>
      <c r="E161" s="180"/>
      <c r="F161" s="181"/>
      <c r="G161" s="180"/>
      <c r="H161" s="180"/>
      <c r="I161" s="182"/>
    </row>
    <row r="162" spans="2:9">
      <c r="B162" s="183"/>
      <c r="C162" s="183"/>
      <c r="D162" s="183"/>
      <c r="E162" s="183"/>
      <c r="F162" s="174"/>
      <c r="G162" s="553"/>
      <c r="H162" s="183"/>
      <c r="I162" s="183"/>
    </row>
    <row r="163" spans="2:9" ht="23.25">
      <c r="B163" s="127" t="s">
        <v>648</v>
      </c>
    </row>
    <row r="164" spans="2:9" ht="15.75">
      <c r="B164" s="150" t="s">
        <v>825</v>
      </c>
    </row>
    <row r="165" spans="2:9">
      <c r="B165" s="140" t="s">
        <v>36</v>
      </c>
      <c r="C165" s="145" t="s">
        <v>42</v>
      </c>
      <c r="D165" s="145" t="s">
        <v>43</v>
      </c>
      <c r="E165" s="145" t="s">
        <v>44</v>
      </c>
      <c r="F165" s="145" t="s">
        <v>45</v>
      </c>
      <c r="G165" s="145" t="s">
        <v>46</v>
      </c>
      <c r="H165" s="145" t="s">
        <v>28</v>
      </c>
    </row>
    <row r="166" spans="2:9">
      <c r="B166" s="185" t="s">
        <v>95</v>
      </c>
      <c r="C166" s="186"/>
      <c r="D166" s="186"/>
      <c r="E166" s="186"/>
      <c r="F166" s="186"/>
      <c r="G166" s="186"/>
      <c r="H166" s="187"/>
    </row>
    <row r="167" spans="2:9">
      <c r="B167" s="188" t="s">
        <v>48</v>
      </c>
      <c r="C167" s="238">
        <v>211</v>
      </c>
      <c r="D167" s="238">
        <v>141</v>
      </c>
      <c r="E167" s="238">
        <v>367</v>
      </c>
      <c r="F167" s="238">
        <v>328</v>
      </c>
      <c r="G167" s="238">
        <v>106</v>
      </c>
      <c r="H167" s="554">
        <v>1154</v>
      </c>
    </row>
    <row r="168" spans="2:9">
      <c r="B168" s="191" t="s">
        <v>49</v>
      </c>
      <c r="C168" s="241">
        <v>26</v>
      </c>
      <c r="D168" s="241">
        <v>12</v>
      </c>
      <c r="E168" s="241">
        <v>31</v>
      </c>
      <c r="F168" s="241">
        <v>40</v>
      </c>
      <c r="G168" s="241">
        <v>46</v>
      </c>
      <c r="H168" s="203">
        <v>151</v>
      </c>
    </row>
    <row r="169" spans="2:9">
      <c r="B169" s="188" t="s">
        <v>50</v>
      </c>
      <c r="C169" s="238">
        <v>256</v>
      </c>
      <c r="D169" s="238">
        <v>160</v>
      </c>
      <c r="E169" s="238">
        <v>411</v>
      </c>
      <c r="F169" s="238">
        <v>378</v>
      </c>
      <c r="G169" s="238">
        <v>153</v>
      </c>
      <c r="H169" s="554">
        <v>1354</v>
      </c>
    </row>
    <row r="170" spans="2:9">
      <c r="B170" s="194" t="s">
        <v>51</v>
      </c>
      <c r="C170" s="96">
        <f>IFERROR(C168/$H$169,"-")</f>
        <v>1.9202363367799114E-2</v>
      </c>
      <c r="D170" s="96">
        <f t="shared" ref="D170:H170" si="15">IFERROR(D168/$H$169,"-")</f>
        <v>8.8626292466765146E-3</v>
      </c>
      <c r="E170" s="96">
        <f t="shared" si="15"/>
        <v>2.2895125553914326E-2</v>
      </c>
      <c r="F170" s="96">
        <f t="shared" si="15"/>
        <v>2.9542097488921712E-2</v>
      </c>
      <c r="G170" s="96">
        <f t="shared" si="15"/>
        <v>3.3973412112259974E-2</v>
      </c>
      <c r="H170" s="97">
        <f t="shared" si="15"/>
        <v>0.11152141802067947</v>
      </c>
    </row>
    <row r="171" spans="2:9">
      <c r="B171" s="195" t="s">
        <v>47</v>
      </c>
      <c r="C171" s="196"/>
      <c r="D171" s="196"/>
      <c r="E171" s="196"/>
      <c r="F171" s="196"/>
      <c r="G171" s="196"/>
      <c r="H171" s="197"/>
    </row>
    <row r="172" spans="2:9">
      <c r="B172" s="191" t="s">
        <v>48</v>
      </c>
      <c r="C172" s="241">
        <v>109</v>
      </c>
      <c r="D172" s="241">
        <v>9</v>
      </c>
      <c r="E172" s="241">
        <v>191</v>
      </c>
      <c r="F172" s="241">
        <v>50</v>
      </c>
      <c r="G172" s="241">
        <v>0</v>
      </c>
      <c r="H172" s="203">
        <v>356</v>
      </c>
    </row>
    <row r="173" spans="2:9">
      <c r="B173" s="188" t="s">
        <v>49</v>
      </c>
      <c r="C173" s="238">
        <v>29</v>
      </c>
      <c r="D173" s="238">
        <v>0</v>
      </c>
      <c r="E173" s="238">
        <v>0</v>
      </c>
      <c r="F173" s="238">
        <v>10</v>
      </c>
      <c r="G173" s="238">
        <v>0</v>
      </c>
      <c r="H173" s="554">
        <v>37</v>
      </c>
    </row>
    <row r="174" spans="2:9">
      <c r="B174" s="191" t="s">
        <v>50</v>
      </c>
      <c r="C174" s="241">
        <v>144</v>
      </c>
      <c r="D174" s="241">
        <v>9</v>
      </c>
      <c r="E174" s="241">
        <v>187</v>
      </c>
      <c r="F174" s="241">
        <v>62</v>
      </c>
      <c r="G174" s="241">
        <v>0</v>
      </c>
      <c r="H174" s="203">
        <v>405</v>
      </c>
    </row>
    <row r="175" spans="2:9">
      <c r="B175" s="202" t="s">
        <v>51</v>
      </c>
      <c r="C175" s="98">
        <f>IFERROR(C173/$H$174,"-")</f>
        <v>7.160493827160494E-2</v>
      </c>
      <c r="D175" s="98">
        <f t="shared" ref="D175:H175" si="16">IFERROR(D173/$H$174,"-")</f>
        <v>0</v>
      </c>
      <c r="E175" s="98">
        <f t="shared" si="16"/>
        <v>0</v>
      </c>
      <c r="F175" s="98">
        <f t="shared" si="16"/>
        <v>2.4691358024691357E-2</v>
      </c>
      <c r="G175" s="98">
        <f t="shared" si="16"/>
        <v>0</v>
      </c>
      <c r="H175" s="99">
        <f t="shared" si="16"/>
        <v>9.1358024691358022E-2</v>
      </c>
    </row>
    <row r="176" spans="2:9">
      <c r="B176" s="185" t="s">
        <v>53</v>
      </c>
      <c r="C176" s="186"/>
      <c r="D176" s="186"/>
      <c r="E176" s="186"/>
      <c r="F176" s="186"/>
      <c r="G176" s="186"/>
      <c r="H176" s="203"/>
    </row>
    <row r="177" spans="2:8">
      <c r="B177" s="188" t="s">
        <v>48</v>
      </c>
      <c r="C177" s="238">
        <v>10</v>
      </c>
      <c r="D177" s="238">
        <v>19</v>
      </c>
      <c r="E177" s="238">
        <v>83</v>
      </c>
      <c r="F177" s="239">
        <v>14</v>
      </c>
      <c r="G177" s="434">
        <v>0</v>
      </c>
      <c r="H177" s="554">
        <v>131</v>
      </c>
    </row>
    <row r="178" spans="2:8">
      <c r="B178" s="191" t="s">
        <v>49</v>
      </c>
      <c r="C178" s="241">
        <v>12</v>
      </c>
      <c r="D178" s="241">
        <v>13</v>
      </c>
      <c r="E178" s="241">
        <v>31</v>
      </c>
      <c r="F178" s="242">
        <v>10</v>
      </c>
      <c r="G178" s="241">
        <v>5</v>
      </c>
      <c r="H178" s="203">
        <v>63</v>
      </c>
    </row>
    <row r="179" spans="2:8">
      <c r="B179" s="188" t="s">
        <v>50</v>
      </c>
      <c r="C179" s="238">
        <v>23</v>
      </c>
      <c r="D179" s="238">
        <v>29</v>
      </c>
      <c r="E179" s="238">
        <v>117</v>
      </c>
      <c r="F179" s="238">
        <v>31</v>
      </c>
      <c r="G179" s="435">
        <v>4</v>
      </c>
      <c r="H179" s="554">
        <v>200</v>
      </c>
    </row>
    <row r="180" spans="2:8">
      <c r="B180" s="194" t="s">
        <v>51</v>
      </c>
      <c r="C180" s="96">
        <f>IFERROR(C178/$H$179,"-")</f>
        <v>0.06</v>
      </c>
      <c r="D180" s="96">
        <f t="shared" ref="D180:H180" si="17">IFERROR(D178/$H$179,"-")</f>
        <v>6.5000000000000002E-2</v>
      </c>
      <c r="E180" s="96">
        <f t="shared" si="17"/>
        <v>0.155</v>
      </c>
      <c r="F180" s="96">
        <f t="shared" si="17"/>
        <v>0.05</v>
      </c>
      <c r="G180" s="96">
        <f t="shared" si="17"/>
        <v>2.5000000000000001E-2</v>
      </c>
      <c r="H180" s="97">
        <f t="shared" si="17"/>
        <v>0.315</v>
      </c>
    </row>
    <row r="181" spans="2:8">
      <c r="B181" s="195" t="s">
        <v>55</v>
      </c>
      <c r="C181" s="196"/>
      <c r="D181" s="196"/>
      <c r="E181" s="196"/>
      <c r="F181" s="196"/>
      <c r="G181" s="196"/>
      <c r="H181" s="197"/>
    </row>
    <row r="182" spans="2:8">
      <c r="B182" s="191" t="s">
        <v>48</v>
      </c>
      <c r="C182" s="241">
        <v>27</v>
      </c>
      <c r="D182" s="241">
        <v>4</v>
      </c>
      <c r="E182" s="241">
        <v>119</v>
      </c>
      <c r="F182" s="241">
        <v>6</v>
      </c>
      <c r="G182" s="241">
        <v>0</v>
      </c>
      <c r="H182" s="203">
        <v>149</v>
      </c>
    </row>
    <row r="183" spans="2:8">
      <c r="B183" s="188" t="s">
        <v>49</v>
      </c>
      <c r="C183" s="238">
        <v>10</v>
      </c>
      <c r="D183" s="238">
        <v>0</v>
      </c>
      <c r="E183" s="238">
        <v>0</v>
      </c>
      <c r="F183" s="238">
        <v>4</v>
      </c>
      <c r="G183" s="238">
        <v>0</v>
      </c>
      <c r="H183" s="554">
        <v>17</v>
      </c>
    </row>
    <row r="184" spans="2:8">
      <c r="B184" s="191" t="s">
        <v>50</v>
      </c>
      <c r="C184" s="241">
        <v>39</v>
      </c>
      <c r="D184" s="241">
        <v>4</v>
      </c>
      <c r="E184" s="241">
        <v>114</v>
      </c>
      <c r="F184" s="241">
        <v>9</v>
      </c>
      <c r="G184" s="241">
        <v>0</v>
      </c>
      <c r="H184" s="203">
        <v>167</v>
      </c>
    </row>
    <row r="185" spans="2:8">
      <c r="B185" s="202" t="s">
        <v>51</v>
      </c>
      <c r="C185" s="98">
        <f>IFERROR(C183/$H$184,"-")</f>
        <v>5.9880239520958084E-2</v>
      </c>
      <c r="D185" s="98">
        <f t="shared" ref="D185:H185" si="18">IFERROR(D183/$H$184,"-")</f>
        <v>0</v>
      </c>
      <c r="E185" s="98">
        <f t="shared" si="18"/>
        <v>0</v>
      </c>
      <c r="F185" s="98">
        <f t="shared" si="18"/>
        <v>2.3952095808383235E-2</v>
      </c>
      <c r="G185" s="98">
        <f t="shared" si="18"/>
        <v>0</v>
      </c>
      <c r="H185" s="100">
        <f t="shared" si="18"/>
        <v>0.10179640718562874</v>
      </c>
    </row>
    <row r="186" spans="2:8">
      <c r="B186" s="185" t="s">
        <v>96</v>
      </c>
      <c r="C186" s="186"/>
      <c r="D186" s="186"/>
      <c r="E186" s="186"/>
      <c r="F186" s="186"/>
      <c r="G186" s="186"/>
      <c r="H186" s="187"/>
    </row>
    <row r="187" spans="2:8">
      <c r="B187" s="188" t="s">
        <v>48</v>
      </c>
      <c r="C187" s="238">
        <v>23</v>
      </c>
      <c r="D187" s="238">
        <v>6</v>
      </c>
      <c r="E187" s="238">
        <v>79</v>
      </c>
      <c r="F187" s="238">
        <v>27</v>
      </c>
      <c r="G187" s="238">
        <v>0</v>
      </c>
      <c r="H187" s="554">
        <v>134</v>
      </c>
    </row>
    <row r="188" spans="2:8">
      <c r="B188" s="191" t="s">
        <v>49</v>
      </c>
      <c r="C188" s="241">
        <v>6</v>
      </c>
      <c r="D188" s="241">
        <v>0</v>
      </c>
      <c r="E188" s="241">
        <v>4</v>
      </c>
      <c r="F188" s="241">
        <v>0</v>
      </c>
      <c r="G188" s="241">
        <v>0</v>
      </c>
      <c r="H188" s="203">
        <v>13</v>
      </c>
    </row>
    <row r="189" spans="2:8">
      <c r="B189" s="188" t="s">
        <v>50</v>
      </c>
      <c r="C189" s="238">
        <v>27</v>
      </c>
      <c r="D189" s="238">
        <v>6</v>
      </c>
      <c r="E189" s="238">
        <v>82</v>
      </c>
      <c r="F189" s="238">
        <v>29</v>
      </c>
      <c r="G189" s="238">
        <v>0</v>
      </c>
      <c r="H189" s="554">
        <v>146</v>
      </c>
    </row>
    <row r="190" spans="2:8">
      <c r="B190" s="194" t="s">
        <v>51</v>
      </c>
      <c r="C190" s="96">
        <f>IFERROR(C188/$H$189,"-")</f>
        <v>4.1095890410958902E-2</v>
      </c>
      <c r="D190" s="96">
        <f t="shared" ref="D190:H190" si="19">IFERROR(D188/$H$189,"-")</f>
        <v>0</v>
      </c>
      <c r="E190" s="96">
        <f t="shared" si="19"/>
        <v>2.7397260273972601E-2</v>
      </c>
      <c r="F190" s="96">
        <f t="shared" si="19"/>
        <v>0</v>
      </c>
      <c r="G190" s="96">
        <f t="shared" si="19"/>
        <v>0</v>
      </c>
      <c r="H190" s="97">
        <f t="shared" si="19"/>
        <v>8.9041095890410954E-2</v>
      </c>
    </row>
    <row r="191" spans="2:8">
      <c r="B191" s="195" t="s">
        <v>114</v>
      </c>
      <c r="C191" s="196"/>
      <c r="D191" s="196"/>
      <c r="E191" s="196"/>
      <c r="F191" s="196"/>
      <c r="G191" s="196"/>
      <c r="H191" s="197"/>
    </row>
    <row r="192" spans="2:8">
      <c r="B192" s="191" t="s">
        <v>48</v>
      </c>
      <c r="C192" s="241">
        <v>606</v>
      </c>
      <c r="D192" s="241">
        <v>333</v>
      </c>
      <c r="E192" s="241">
        <v>1621</v>
      </c>
      <c r="F192" s="241">
        <v>762</v>
      </c>
      <c r="G192" s="241">
        <v>194</v>
      </c>
      <c r="H192" s="203">
        <v>3510</v>
      </c>
    </row>
    <row r="193" spans="1:13">
      <c r="B193" s="188" t="s">
        <v>49</v>
      </c>
      <c r="C193" s="238">
        <v>148</v>
      </c>
      <c r="D193" s="238">
        <v>38</v>
      </c>
      <c r="E193" s="238">
        <v>103</v>
      </c>
      <c r="F193" s="238">
        <v>87</v>
      </c>
      <c r="G193" s="238">
        <v>67</v>
      </c>
      <c r="H193" s="554">
        <v>439</v>
      </c>
    </row>
    <row r="194" spans="1:13">
      <c r="B194" s="191" t="s">
        <v>50</v>
      </c>
      <c r="C194" s="241">
        <v>791</v>
      </c>
      <c r="D194" s="241">
        <v>379</v>
      </c>
      <c r="E194" s="241">
        <v>1751</v>
      </c>
      <c r="F194" s="241">
        <v>860</v>
      </c>
      <c r="G194" s="241">
        <v>267</v>
      </c>
      <c r="H194" s="203">
        <v>4050</v>
      </c>
    </row>
    <row r="195" spans="1:13">
      <c r="B195" s="202" t="s">
        <v>51</v>
      </c>
      <c r="C195" s="101">
        <f>IFERROR(C193/$H$194,"-")</f>
        <v>3.6543209876543213E-2</v>
      </c>
      <c r="D195" s="101">
        <f t="shared" ref="D195:H195" si="20">IFERROR(D193/$H$194,"-")</f>
        <v>9.3827160493827159E-3</v>
      </c>
      <c r="E195" s="101">
        <f t="shared" si="20"/>
        <v>2.54320987654321E-2</v>
      </c>
      <c r="F195" s="101">
        <f t="shared" si="20"/>
        <v>2.148148148148148E-2</v>
      </c>
      <c r="G195" s="101">
        <f t="shared" si="20"/>
        <v>1.6543209876543209E-2</v>
      </c>
      <c r="H195" s="99">
        <f t="shared" si="20"/>
        <v>0.10839506172839507</v>
      </c>
    </row>
    <row r="197" spans="1:13" ht="23.25">
      <c r="B197" s="127" t="s">
        <v>649</v>
      </c>
    </row>
    <row r="198" spans="1:13" ht="15.75">
      <c r="A198" s="555"/>
      <c r="B198" s="150" t="s">
        <v>826</v>
      </c>
      <c r="J198" s="555"/>
      <c r="K198" s="555"/>
      <c r="L198" s="555"/>
      <c r="M198" s="555"/>
    </row>
    <row r="199" spans="1:13" ht="25.5">
      <c r="B199" s="556"/>
      <c r="C199" s="1230" t="s">
        <v>125</v>
      </c>
      <c r="D199" s="1231"/>
      <c r="E199" s="1231"/>
      <c r="F199" s="1232"/>
      <c r="G199" s="557" t="s">
        <v>10</v>
      </c>
      <c r="H199" s="558" t="s">
        <v>847</v>
      </c>
      <c r="I199" s="559" t="s">
        <v>70</v>
      </c>
    </row>
    <row r="200" spans="1:13" ht="63.75">
      <c r="B200" s="560" t="s">
        <v>879</v>
      </c>
      <c r="C200" s="448" t="s">
        <v>61</v>
      </c>
      <c r="D200" s="448" t="s">
        <v>60</v>
      </c>
      <c r="E200" s="448" t="s">
        <v>59</v>
      </c>
      <c r="F200" s="561" t="s">
        <v>848</v>
      </c>
      <c r="G200" s="448" t="s">
        <v>122</v>
      </c>
      <c r="H200" s="448" t="s">
        <v>123</v>
      </c>
      <c r="I200" s="562" t="s">
        <v>124</v>
      </c>
    </row>
    <row r="201" spans="1:13" s="118" customFormat="1">
      <c r="B201" s="563" t="s">
        <v>116</v>
      </c>
      <c r="C201" s="564">
        <v>6362</v>
      </c>
      <c r="D201" s="564">
        <v>102</v>
      </c>
      <c r="E201" s="564">
        <v>1254</v>
      </c>
      <c r="F201" s="564">
        <v>108</v>
      </c>
      <c r="G201" s="564">
        <v>184</v>
      </c>
      <c r="H201" s="564">
        <v>135</v>
      </c>
      <c r="I201" s="565">
        <v>8143</v>
      </c>
    </row>
    <row r="202" spans="1:13" s="118" customFormat="1">
      <c r="B202" s="563" t="s">
        <v>115</v>
      </c>
      <c r="C202" s="564">
        <v>4215</v>
      </c>
      <c r="D202" s="564">
        <v>364</v>
      </c>
      <c r="E202" s="564">
        <v>1040</v>
      </c>
      <c r="F202" s="564">
        <v>59</v>
      </c>
      <c r="G202" s="564">
        <v>1504</v>
      </c>
      <c r="H202" s="564">
        <v>114</v>
      </c>
      <c r="I202" s="565">
        <v>7305</v>
      </c>
    </row>
    <row r="203" spans="1:13" s="118" customFormat="1">
      <c r="B203" s="563" t="s">
        <v>117</v>
      </c>
      <c r="C203" s="564">
        <v>1630</v>
      </c>
      <c r="D203" s="564">
        <v>84</v>
      </c>
      <c r="E203" s="564">
        <v>269</v>
      </c>
      <c r="F203" s="564">
        <v>23</v>
      </c>
      <c r="G203" s="564">
        <v>447</v>
      </c>
      <c r="H203" s="564">
        <v>29</v>
      </c>
      <c r="I203" s="565">
        <v>2481</v>
      </c>
    </row>
    <row r="204" spans="1:13" s="118" customFormat="1">
      <c r="B204" s="563" t="s">
        <v>119</v>
      </c>
      <c r="C204" s="564">
        <v>1220</v>
      </c>
      <c r="D204" s="564">
        <v>92</v>
      </c>
      <c r="E204" s="564">
        <v>270</v>
      </c>
      <c r="F204" s="564">
        <v>24</v>
      </c>
      <c r="G204" s="564">
        <v>407</v>
      </c>
      <c r="H204" s="564">
        <v>33</v>
      </c>
      <c r="I204" s="565">
        <v>2049</v>
      </c>
    </row>
    <row r="205" spans="1:13" s="118" customFormat="1">
      <c r="B205" s="563" t="s">
        <v>118</v>
      </c>
      <c r="C205" s="564">
        <v>1345</v>
      </c>
      <c r="D205" s="566" t="s">
        <v>94</v>
      </c>
      <c r="E205" s="564">
        <v>34</v>
      </c>
      <c r="F205" s="564">
        <v>28</v>
      </c>
      <c r="G205" s="564">
        <v>11</v>
      </c>
      <c r="H205" s="564">
        <v>27</v>
      </c>
      <c r="I205" s="565">
        <v>1441</v>
      </c>
    </row>
    <row r="206" spans="1:13" s="118" customFormat="1">
      <c r="B206" s="563" t="s">
        <v>97</v>
      </c>
      <c r="C206" s="564">
        <v>785</v>
      </c>
      <c r="D206" s="564">
        <v>94</v>
      </c>
      <c r="E206" s="564">
        <v>167</v>
      </c>
      <c r="F206" s="564">
        <v>15</v>
      </c>
      <c r="G206" s="564">
        <v>342</v>
      </c>
      <c r="H206" s="564">
        <v>26</v>
      </c>
      <c r="I206" s="565">
        <v>1423</v>
      </c>
    </row>
    <row r="207" spans="1:13" s="118" customFormat="1">
      <c r="B207" s="563" t="s">
        <v>98</v>
      </c>
      <c r="C207" s="564">
        <v>216</v>
      </c>
      <c r="D207" s="564">
        <v>70</v>
      </c>
      <c r="E207" s="564">
        <v>85</v>
      </c>
      <c r="F207" s="564">
        <v>3</v>
      </c>
      <c r="G207" s="564">
        <v>138</v>
      </c>
      <c r="H207" s="564">
        <v>13</v>
      </c>
      <c r="I207" s="565">
        <v>529</v>
      </c>
    </row>
    <row r="208" spans="1:13" s="118" customFormat="1">
      <c r="B208" s="563" t="s">
        <v>111</v>
      </c>
      <c r="C208" s="564">
        <v>84</v>
      </c>
      <c r="D208" s="564">
        <v>54</v>
      </c>
      <c r="E208" s="564">
        <v>71</v>
      </c>
      <c r="F208" s="566" t="s">
        <v>94</v>
      </c>
      <c r="G208" s="564">
        <v>130</v>
      </c>
      <c r="H208" s="566" t="s">
        <v>94</v>
      </c>
      <c r="I208" s="565">
        <v>347</v>
      </c>
    </row>
    <row r="209" spans="2:9" s="118" customFormat="1">
      <c r="B209" s="563" t="s">
        <v>120</v>
      </c>
      <c r="C209" s="564">
        <v>14</v>
      </c>
      <c r="D209" s="564">
        <v>149</v>
      </c>
      <c r="E209" s="564">
        <v>14</v>
      </c>
      <c r="F209" s="566" t="s">
        <v>94</v>
      </c>
      <c r="G209" s="564">
        <v>668</v>
      </c>
      <c r="H209" s="564">
        <v>9</v>
      </c>
      <c r="I209" s="565">
        <v>848</v>
      </c>
    </row>
    <row r="210" spans="2:9" s="118" customFormat="1">
      <c r="B210" s="567" t="s">
        <v>245</v>
      </c>
      <c r="C210" s="568">
        <v>25</v>
      </c>
      <c r="D210" s="568">
        <v>49</v>
      </c>
      <c r="E210" s="568">
        <v>66</v>
      </c>
      <c r="F210" s="569" t="s">
        <v>94</v>
      </c>
      <c r="G210" s="568">
        <v>298</v>
      </c>
      <c r="H210" s="568">
        <v>5</v>
      </c>
      <c r="I210" s="570">
        <v>441</v>
      </c>
    </row>
    <row r="211" spans="2:9">
      <c r="B211" s="389" t="s">
        <v>878</v>
      </c>
    </row>
    <row r="212" spans="2:9">
      <c r="B212" s="389"/>
    </row>
    <row r="213" spans="2:9" ht="23.25">
      <c r="B213" s="127" t="s">
        <v>650</v>
      </c>
    </row>
    <row r="214" spans="2:9" ht="15.75">
      <c r="B214" s="150" t="s">
        <v>329</v>
      </c>
    </row>
    <row r="215" spans="2:9" ht="25.5">
      <c r="B215" s="173" t="s">
        <v>64</v>
      </c>
      <c r="C215" s="222" t="s">
        <v>37</v>
      </c>
      <c r="D215" s="222" t="s">
        <v>38</v>
      </c>
      <c r="E215" s="222" t="s">
        <v>6</v>
      </c>
      <c r="F215" s="222" t="s">
        <v>1</v>
      </c>
      <c r="G215" s="571" t="s">
        <v>7</v>
      </c>
      <c r="H215" s="526" t="s">
        <v>65</v>
      </c>
      <c r="I215" s="572" t="s">
        <v>8</v>
      </c>
    </row>
    <row r="216" spans="2:9">
      <c r="B216" s="573" t="s">
        <v>149</v>
      </c>
      <c r="C216" s="574">
        <v>4140</v>
      </c>
      <c r="D216" s="574">
        <v>3915</v>
      </c>
      <c r="E216" s="574">
        <v>8056</v>
      </c>
      <c r="F216" s="102">
        <f>SUM(Table79222681124[[#This Row],[Persons]]/$C$15)</f>
        <v>0.32548179871520344</v>
      </c>
      <c r="G216" s="225">
        <v>6446</v>
      </c>
      <c r="H216" s="103">
        <f>IFERROR(Table79222681124[[#This Row],[Persons]]-Table79222681124[[#This Row],[2011 Census]],"-")</f>
        <v>1610</v>
      </c>
      <c r="I216" s="104">
        <f t="shared" ref="I216:I237" si="21">IFERROR(((E216-G216)/G216),"..")</f>
        <v>0.24976729754886751</v>
      </c>
    </row>
    <row r="217" spans="2:9">
      <c r="B217" s="183" t="s">
        <v>150</v>
      </c>
      <c r="C217" s="575">
        <v>2220</v>
      </c>
      <c r="D217" s="575">
        <v>2397</v>
      </c>
      <c r="E217" s="575">
        <v>4615</v>
      </c>
      <c r="F217" s="105">
        <f>SUM(Table79222681124[[#This Row],[Persons]]/$C$15)</f>
        <v>0.18645711284392549</v>
      </c>
      <c r="G217" s="227">
        <v>5422</v>
      </c>
      <c r="H217" s="106">
        <f>IFERROR(Table79222681124[[#This Row],[Persons]]-Table79222681124[[#This Row],[2011 Census]],"-")</f>
        <v>-807</v>
      </c>
      <c r="I217" s="91">
        <f t="shared" si="21"/>
        <v>-0.14883806713389894</v>
      </c>
    </row>
    <row r="218" spans="2:9">
      <c r="B218" s="573" t="s">
        <v>151</v>
      </c>
      <c r="C218" s="574">
        <v>890</v>
      </c>
      <c r="D218" s="574">
        <v>954</v>
      </c>
      <c r="E218" s="574">
        <v>1847</v>
      </c>
      <c r="F218" s="102">
        <f>SUM(Table79222681124[[#This Row],[Persons]]/$C$15)</f>
        <v>7.4623247545553717E-2</v>
      </c>
      <c r="G218" s="228">
        <v>2665</v>
      </c>
      <c r="H218" s="103">
        <f>IFERROR(Table79222681124[[#This Row],[Persons]]-Table79222681124[[#This Row],[2011 Census]],"-")</f>
        <v>-818</v>
      </c>
      <c r="I218" s="104">
        <f t="shared" si="21"/>
        <v>-0.3069418386491557</v>
      </c>
    </row>
    <row r="219" spans="2:9">
      <c r="B219" s="183" t="s">
        <v>152</v>
      </c>
      <c r="C219" s="575">
        <v>481</v>
      </c>
      <c r="D219" s="575">
        <v>636</v>
      </c>
      <c r="E219" s="575">
        <v>1117</v>
      </c>
      <c r="F219" s="105">
        <f>SUM(Table79222681124[[#This Row],[Persons]]/$C$15)</f>
        <v>4.5129489717587165E-2</v>
      </c>
      <c r="G219" s="107">
        <v>1764</v>
      </c>
      <c r="H219" s="106">
        <f>IFERROR(Table79222681124[[#This Row],[Persons]]-Table79222681124[[#This Row],[2011 Census]],"-")</f>
        <v>-647</v>
      </c>
      <c r="I219" s="91">
        <f t="shared" si="21"/>
        <v>-0.3667800453514739</v>
      </c>
    </row>
    <row r="220" spans="2:9">
      <c r="B220" s="573" t="s">
        <v>153</v>
      </c>
      <c r="C220" s="574">
        <v>355</v>
      </c>
      <c r="D220" s="574">
        <v>488</v>
      </c>
      <c r="E220" s="574">
        <v>846</v>
      </c>
      <c r="F220" s="102">
        <f>SUM(Table79222681124[[#This Row],[Persons]]/$C$15)</f>
        <v>3.4180437154054381E-2</v>
      </c>
      <c r="G220" s="228">
        <v>1232</v>
      </c>
      <c r="H220" s="103">
        <f>IFERROR(Table79222681124[[#This Row],[Persons]]-Table79222681124[[#This Row],[2011 Census]],"-")</f>
        <v>-386</v>
      </c>
      <c r="I220" s="104">
        <f t="shared" si="21"/>
        <v>-0.31331168831168832</v>
      </c>
    </row>
    <row r="221" spans="2:9">
      <c r="B221" s="183" t="s">
        <v>154</v>
      </c>
      <c r="C221" s="575">
        <v>291</v>
      </c>
      <c r="D221" s="575">
        <v>373</v>
      </c>
      <c r="E221" s="575">
        <v>667</v>
      </c>
      <c r="F221" s="105">
        <f>SUM(Table79222681124[[#This Row],[Persons]]/$C$15)</f>
        <v>2.6948406125005049E-2</v>
      </c>
      <c r="G221" s="227">
        <v>757</v>
      </c>
      <c r="H221" s="106">
        <f>IFERROR(Table79222681124[[#This Row],[Persons]]-Table79222681124[[#This Row],[2011 Census]],"-")</f>
        <v>-90</v>
      </c>
      <c r="I221" s="91">
        <f t="shared" si="21"/>
        <v>-0.11889035667107001</v>
      </c>
    </row>
    <row r="222" spans="2:9">
      <c r="B222" s="573" t="s">
        <v>155</v>
      </c>
      <c r="C222" s="574">
        <v>242</v>
      </c>
      <c r="D222" s="574">
        <v>276</v>
      </c>
      <c r="E222" s="574">
        <v>517</v>
      </c>
      <c r="F222" s="102">
        <f>SUM(Table79222681124[[#This Row],[Persons]]/$C$15)</f>
        <v>2.0888044927477676E-2</v>
      </c>
      <c r="G222" s="228">
        <v>440</v>
      </c>
      <c r="H222" s="103">
        <f>IFERROR(Table79222681124[[#This Row],[Persons]]-Table79222681124[[#This Row],[2011 Census]],"-")</f>
        <v>77</v>
      </c>
      <c r="I222" s="104">
        <f t="shared" si="21"/>
        <v>0.17499999999999999</v>
      </c>
    </row>
    <row r="223" spans="2:9">
      <c r="B223" s="183" t="s">
        <v>156</v>
      </c>
      <c r="C223" s="575">
        <v>165</v>
      </c>
      <c r="D223" s="575">
        <v>254</v>
      </c>
      <c r="E223" s="575">
        <v>412</v>
      </c>
      <c r="F223" s="105">
        <f>SUM(Table79222681124[[#This Row],[Persons]]/$C$15)</f>
        <v>1.6645792089208515E-2</v>
      </c>
      <c r="G223" s="227">
        <v>342</v>
      </c>
      <c r="H223" s="106">
        <f>IFERROR(Table79222681124[[#This Row],[Persons]]-Table79222681124[[#This Row],[2011 Census]],"-")</f>
        <v>70</v>
      </c>
      <c r="I223" s="91">
        <f t="shared" si="21"/>
        <v>0.2046783625730994</v>
      </c>
    </row>
    <row r="224" spans="2:9">
      <c r="B224" s="573" t="s">
        <v>157</v>
      </c>
      <c r="C224" s="574">
        <v>178</v>
      </c>
      <c r="D224" s="574">
        <v>171</v>
      </c>
      <c r="E224" s="574">
        <v>350</v>
      </c>
      <c r="F224" s="102">
        <f>SUM(Table79222681124[[#This Row],[Persons]]/$C$15)</f>
        <v>1.4140842794230536E-2</v>
      </c>
      <c r="G224" s="228">
        <v>390</v>
      </c>
      <c r="H224" s="103">
        <f>IFERROR(Table79222681124[[#This Row],[Persons]]-Table79222681124[[#This Row],[2011 Census]],"-")</f>
        <v>-40</v>
      </c>
      <c r="I224" s="104">
        <f t="shared" si="21"/>
        <v>-0.10256410256410256</v>
      </c>
    </row>
    <row r="225" spans="2:9">
      <c r="B225" s="183" t="s">
        <v>158</v>
      </c>
      <c r="C225" s="575">
        <v>186</v>
      </c>
      <c r="D225" s="575">
        <v>164</v>
      </c>
      <c r="E225" s="575">
        <v>345</v>
      </c>
      <c r="F225" s="105">
        <f>SUM(Table79222681124[[#This Row],[Persons]]/$C$15)</f>
        <v>1.3938830754312957E-2</v>
      </c>
      <c r="G225" s="227">
        <v>237</v>
      </c>
      <c r="H225" s="106">
        <f>IFERROR(Table79222681124[[#This Row],[Persons]]-Table79222681124[[#This Row],[2011 Census]],"-")</f>
        <v>108</v>
      </c>
      <c r="I225" s="91">
        <f t="shared" si="21"/>
        <v>0.45569620253164556</v>
      </c>
    </row>
    <row r="226" spans="2:9">
      <c r="B226" s="573" t="s">
        <v>159</v>
      </c>
      <c r="C226" s="574">
        <v>114</v>
      </c>
      <c r="D226" s="574">
        <v>93</v>
      </c>
      <c r="E226" s="574">
        <v>204</v>
      </c>
      <c r="F226" s="102">
        <f>SUM(Table79222681124[[#This Row],[Persons]]/$C$15)</f>
        <v>8.2420912286372272E-3</v>
      </c>
      <c r="G226" s="228">
        <v>117</v>
      </c>
      <c r="H226" s="103">
        <f>IFERROR(Table79222681124[[#This Row],[Persons]]-Table79222681124[[#This Row],[2011 Census]],"-")</f>
        <v>87</v>
      </c>
      <c r="I226" s="104">
        <f t="shared" si="21"/>
        <v>0.74358974358974361</v>
      </c>
    </row>
    <row r="227" spans="2:9">
      <c r="B227" s="183" t="s">
        <v>160</v>
      </c>
      <c r="C227" s="575">
        <v>82</v>
      </c>
      <c r="D227" s="575">
        <v>79</v>
      </c>
      <c r="E227" s="575">
        <v>167</v>
      </c>
      <c r="F227" s="105">
        <f>SUM(Table79222681124[[#This Row],[Persons]]/$C$15)</f>
        <v>6.7472021332471415E-3</v>
      </c>
      <c r="G227" s="227">
        <v>57</v>
      </c>
      <c r="H227" s="106">
        <f>IFERROR(Table79222681124[[#This Row],[Persons]]-Table79222681124[[#This Row],[2011 Census]],"-")</f>
        <v>110</v>
      </c>
      <c r="I227" s="91">
        <f t="shared" si="21"/>
        <v>1.9298245614035088</v>
      </c>
    </row>
    <row r="228" spans="2:9">
      <c r="B228" s="573" t="s">
        <v>161</v>
      </c>
      <c r="C228" s="574">
        <v>88</v>
      </c>
      <c r="D228" s="574">
        <v>75</v>
      </c>
      <c r="E228" s="574">
        <v>165</v>
      </c>
      <c r="F228" s="102">
        <f>SUM(Table79222681124[[#This Row],[Persons]]/$C$15)</f>
        <v>6.6663973172801103E-3</v>
      </c>
      <c r="G228" s="228">
        <v>119</v>
      </c>
      <c r="H228" s="103">
        <f>IFERROR(Table79222681124[[#This Row],[Persons]]-Table79222681124[[#This Row],[2011 Census]],"-")</f>
        <v>46</v>
      </c>
      <c r="I228" s="104">
        <f t="shared" si="21"/>
        <v>0.38655462184873951</v>
      </c>
    </row>
    <row r="229" spans="2:9">
      <c r="B229" s="183" t="s">
        <v>162</v>
      </c>
      <c r="C229" s="575">
        <v>71</v>
      </c>
      <c r="D229" s="575">
        <v>84</v>
      </c>
      <c r="E229" s="575">
        <v>160</v>
      </c>
      <c r="F229" s="105">
        <f>SUM(Table79222681124[[#This Row],[Persons]]/$C$15)</f>
        <v>6.464385277362531E-3</v>
      </c>
      <c r="G229" s="227">
        <v>128</v>
      </c>
      <c r="H229" s="106">
        <f>IFERROR(Table79222681124[[#This Row],[Persons]]-Table79222681124[[#This Row],[2011 Census]],"-")</f>
        <v>32</v>
      </c>
      <c r="I229" s="91">
        <f t="shared" si="21"/>
        <v>0.25</v>
      </c>
    </row>
    <row r="230" spans="2:9">
      <c r="B230" s="573" t="s">
        <v>163</v>
      </c>
      <c r="C230" s="574">
        <v>42</v>
      </c>
      <c r="D230" s="574">
        <v>60</v>
      </c>
      <c r="E230" s="574">
        <v>95</v>
      </c>
      <c r="F230" s="102">
        <f>SUM(Table79222681124[[#This Row],[Persons]]/$C$15)</f>
        <v>3.8382287584340026E-3</v>
      </c>
      <c r="G230" s="228">
        <v>82</v>
      </c>
      <c r="H230" s="103">
        <f>IFERROR(Table79222681124[[#This Row],[Persons]]-Table79222681124[[#This Row],[2011 Census]],"-")</f>
        <v>13</v>
      </c>
      <c r="I230" s="104">
        <f t="shared" si="21"/>
        <v>0.15853658536585366</v>
      </c>
    </row>
    <row r="231" spans="2:9">
      <c r="B231" s="183" t="s">
        <v>164</v>
      </c>
      <c r="C231" s="575">
        <v>33</v>
      </c>
      <c r="D231" s="575">
        <v>36</v>
      </c>
      <c r="E231" s="575">
        <v>75</v>
      </c>
      <c r="F231" s="105">
        <f>SUM(Table79222681124[[#This Row],[Persons]]/$C$15)</f>
        <v>3.0301805987636861E-3</v>
      </c>
      <c r="G231" s="227">
        <v>22</v>
      </c>
      <c r="H231" s="106">
        <f>IFERROR(Table79222681124[[#This Row],[Persons]]-Table79222681124[[#This Row],[2011 Census]],"-")</f>
        <v>53</v>
      </c>
      <c r="I231" s="91">
        <f t="shared" si="21"/>
        <v>2.4090909090909092</v>
      </c>
    </row>
    <row r="232" spans="2:9">
      <c r="B232" s="573" t="s">
        <v>165</v>
      </c>
      <c r="C232" s="574">
        <v>39</v>
      </c>
      <c r="D232" s="574">
        <v>29</v>
      </c>
      <c r="E232" s="574">
        <v>65</v>
      </c>
      <c r="F232" s="102">
        <f>SUM(Table79222681124[[#This Row],[Persons]]/$C$15)</f>
        <v>2.6261565189285283E-3</v>
      </c>
      <c r="G232" s="228">
        <v>0</v>
      </c>
      <c r="H232" s="103">
        <f>IFERROR(Table79222681124[[#This Row],[Persons]]-Table79222681124[[#This Row],[2011 Census]],"-")</f>
        <v>65</v>
      </c>
      <c r="I232" s="104" t="str">
        <f t="shared" si="21"/>
        <v>..</v>
      </c>
    </row>
    <row r="233" spans="2:9">
      <c r="B233" s="183" t="s">
        <v>166</v>
      </c>
      <c r="C233" s="575">
        <v>35</v>
      </c>
      <c r="D233" s="575">
        <v>19</v>
      </c>
      <c r="E233" s="575">
        <v>53</v>
      </c>
      <c r="F233" s="105">
        <f>SUM(Table79222681124[[#This Row],[Persons]]/$C$15)</f>
        <v>2.1413276231263384E-3</v>
      </c>
      <c r="G233" s="227">
        <v>83</v>
      </c>
      <c r="H233" s="106">
        <f>IFERROR(Table79222681124[[#This Row],[Persons]]-Table79222681124[[#This Row],[2011 Census]],"-")</f>
        <v>-30</v>
      </c>
      <c r="I233" s="91">
        <f t="shared" si="21"/>
        <v>-0.36144578313253012</v>
      </c>
    </row>
    <row r="234" spans="2:9">
      <c r="B234" s="573" t="s">
        <v>167</v>
      </c>
      <c r="C234" s="574">
        <v>20</v>
      </c>
      <c r="D234" s="574">
        <v>27</v>
      </c>
      <c r="E234" s="574">
        <v>45</v>
      </c>
      <c r="F234" s="105">
        <f>SUM(Table79222681124[[#This Row],[Persons]]/$C$15)</f>
        <v>1.8181083592582119E-3</v>
      </c>
      <c r="G234" s="228">
        <v>71</v>
      </c>
      <c r="H234" s="103">
        <f>IFERROR(Table79222681124[[#This Row],[Persons]]-Table79222681124[[#This Row],[2011 Census]],"-")</f>
        <v>-26</v>
      </c>
      <c r="I234" s="91">
        <f t="shared" si="21"/>
        <v>-0.36619718309859156</v>
      </c>
    </row>
    <row r="235" spans="2:9">
      <c r="B235" s="183" t="s">
        <v>168</v>
      </c>
      <c r="C235" s="575">
        <v>16</v>
      </c>
      <c r="D235" s="575">
        <v>27</v>
      </c>
      <c r="E235" s="575">
        <v>36</v>
      </c>
      <c r="F235" s="105">
        <f>SUM(Table79222681124[[#This Row],[Persons]]/$C$15)</f>
        <v>1.4544866874065694E-3</v>
      </c>
      <c r="G235" s="227">
        <v>97</v>
      </c>
      <c r="H235" s="106">
        <f>IFERROR(Table79222681124[[#This Row],[Persons]]-Table79222681124[[#This Row],[2011 Census]],"-")</f>
        <v>-61</v>
      </c>
      <c r="I235" s="91">
        <f t="shared" si="21"/>
        <v>-0.62886597938144329</v>
      </c>
    </row>
    <row r="236" spans="2:9">
      <c r="B236" s="183" t="s">
        <v>71</v>
      </c>
      <c r="C236" s="575">
        <v>581</v>
      </c>
      <c r="D236" s="575">
        <v>601</v>
      </c>
      <c r="E236" s="575">
        <v>1186</v>
      </c>
      <c r="F236" s="105">
        <f>SUM(Table79222681124[[#This Row],[Persons]]/$C$15)</f>
        <v>4.7917255868449762E-2</v>
      </c>
      <c r="G236" s="107">
        <f>(Table79222681124[[#Totals],[2011 Census]]-SUM(G216:G235)-G237)</f>
        <v>2048</v>
      </c>
      <c r="H236" s="106">
        <f>IFERROR(Table79222681124[[#This Row],[Persons]]-Table79222681124[[#This Row],[2011 Census]],"-")</f>
        <v>-862</v>
      </c>
      <c r="I236" s="91">
        <f t="shared" si="21"/>
        <v>-0.4208984375</v>
      </c>
    </row>
    <row r="237" spans="2:9">
      <c r="B237" s="183" t="s">
        <v>58</v>
      </c>
      <c r="C237" s="575">
        <v>1852</v>
      </c>
      <c r="D237" s="575">
        <v>1867</v>
      </c>
      <c r="E237" s="575">
        <v>3713</v>
      </c>
      <c r="F237" s="105">
        <f>SUM(Table79222681124[[#This Row],[Persons]]/$C$15)</f>
        <v>0.15001414084279424</v>
      </c>
      <c r="G237" s="227">
        <v>2667</v>
      </c>
      <c r="H237" s="106">
        <f>IFERROR(Table79222681124[[#This Row],[Persons]]-Table79222681124[[#This Row],[2011 Census]],"-")</f>
        <v>1046</v>
      </c>
      <c r="I237" s="91">
        <f t="shared" si="21"/>
        <v>0.39220097487814021</v>
      </c>
    </row>
    <row r="238" spans="2:9" ht="15.75">
      <c r="B238" s="108" t="s">
        <v>72</v>
      </c>
      <c r="C238" s="109" t="s">
        <v>300</v>
      </c>
      <c r="D238" s="109" t="s">
        <v>301</v>
      </c>
      <c r="E238" s="110">
        <f>C15</f>
        <v>24751</v>
      </c>
      <c r="F238" s="111" t="s">
        <v>22</v>
      </c>
      <c r="G238" s="110">
        <f>E15</f>
        <v>25186</v>
      </c>
      <c r="H238" s="112">
        <f>Table79222681124[[#Totals],[Persons]]-Table79222681124[[#Totals],[2011 Census]]</f>
        <v>-435</v>
      </c>
      <c r="I238" s="113">
        <f>SUM((Table79222681124[[#Totals],[Persons]]-Table79222681124[[#Totals],[2011 Census]])/Table79222681124[[#Totals],[2011 Census]])</f>
        <v>-1.7271500039704599E-2</v>
      </c>
    </row>
    <row r="239" spans="2:9" ht="15.75">
      <c r="B239" s="114"/>
      <c r="C239" s="114"/>
      <c r="D239" s="114"/>
      <c r="E239" s="114"/>
      <c r="F239" s="114"/>
      <c r="G239" s="114"/>
      <c r="H239" s="114"/>
      <c r="I239" s="114"/>
    </row>
    <row r="240" spans="2:9" ht="23.25">
      <c r="B240" s="127" t="s">
        <v>651</v>
      </c>
    </row>
    <row r="241" spans="2:10" ht="15.75">
      <c r="B241" s="150" t="s">
        <v>827</v>
      </c>
    </row>
    <row r="242" spans="2:10" ht="25.5">
      <c r="B242" s="173" t="s">
        <v>64</v>
      </c>
      <c r="C242" s="222" t="s">
        <v>66</v>
      </c>
      <c r="D242" s="222" t="s">
        <v>67</v>
      </c>
      <c r="E242" s="222" t="s">
        <v>58</v>
      </c>
      <c r="F242" s="233" t="s">
        <v>68</v>
      </c>
      <c r="G242" s="233" t="s">
        <v>24</v>
      </c>
      <c r="H242" s="233" t="s">
        <v>25</v>
      </c>
      <c r="I242" s="233" t="s">
        <v>69</v>
      </c>
      <c r="J242" s="233" t="s">
        <v>27</v>
      </c>
    </row>
    <row r="243" spans="2:10">
      <c r="B243" s="155" t="s">
        <v>149</v>
      </c>
      <c r="C243" s="103">
        <v>6390</v>
      </c>
      <c r="D243" s="103">
        <v>1538</v>
      </c>
      <c r="E243" s="103">
        <v>120</v>
      </c>
      <c r="F243" s="234">
        <v>1876</v>
      </c>
      <c r="G243" s="235">
        <v>1099</v>
      </c>
      <c r="H243" s="235">
        <v>2742</v>
      </c>
      <c r="I243" s="236">
        <v>1914</v>
      </c>
      <c r="J243" s="235">
        <v>424</v>
      </c>
    </row>
    <row r="244" spans="2:10">
      <c r="B244" s="158" t="s">
        <v>150</v>
      </c>
      <c r="C244" s="106">
        <v>3185</v>
      </c>
      <c r="D244" s="106">
        <v>1360</v>
      </c>
      <c r="E244" s="106">
        <v>72</v>
      </c>
      <c r="F244" s="237">
        <v>1050</v>
      </c>
      <c r="G244" s="238">
        <v>511</v>
      </c>
      <c r="H244" s="238">
        <v>1385</v>
      </c>
      <c r="I244" s="239">
        <v>1280</v>
      </c>
      <c r="J244" s="238">
        <v>386</v>
      </c>
    </row>
    <row r="245" spans="2:10">
      <c r="B245" s="155" t="s">
        <v>151</v>
      </c>
      <c r="C245" s="103">
        <v>1413</v>
      </c>
      <c r="D245" s="103">
        <v>395</v>
      </c>
      <c r="E245" s="103">
        <v>32</v>
      </c>
      <c r="F245" s="240">
        <v>217</v>
      </c>
      <c r="G245" s="241">
        <v>137</v>
      </c>
      <c r="H245" s="241">
        <v>406</v>
      </c>
      <c r="I245" s="242">
        <v>759</v>
      </c>
      <c r="J245" s="241">
        <v>330</v>
      </c>
    </row>
    <row r="246" spans="2:10">
      <c r="B246" s="158" t="s">
        <v>152</v>
      </c>
      <c r="C246" s="106">
        <v>1019</v>
      </c>
      <c r="D246" s="106">
        <v>73</v>
      </c>
      <c r="E246" s="106">
        <v>28</v>
      </c>
      <c r="F246" s="237">
        <v>226</v>
      </c>
      <c r="G246" s="238">
        <v>137</v>
      </c>
      <c r="H246" s="238">
        <v>283</v>
      </c>
      <c r="I246" s="239">
        <v>351</v>
      </c>
      <c r="J246" s="238">
        <v>125</v>
      </c>
    </row>
    <row r="247" spans="2:10">
      <c r="B247" s="155" t="s">
        <v>153</v>
      </c>
      <c r="C247" s="103">
        <v>729</v>
      </c>
      <c r="D247" s="103">
        <v>92</v>
      </c>
      <c r="E247" s="103">
        <v>21</v>
      </c>
      <c r="F247" s="240">
        <v>105</v>
      </c>
      <c r="G247" s="241">
        <v>68</v>
      </c>
      <c r="H247" s="241">
        <v>165</v>
      </c>
      <c r="I247" s="242">
        <v>359</v>
      </c>
      <c r="J247" s="241">
        <v>133</v>
      </c>
    </row>
    <row r="248" spans="2:10">
      <c r="B248" s="158" t="s">
        <v>154</v>
      </c>
      <c r="C248" s="106">
        <v>499</v>
      </c>
      <c r="D248" s="106">
        <v>165</v>
      </c>
      <c r="E248" s="106">
        <v>9</v>
      </c>
      <c r="F248" s="237">
        <v>161</v>
      </c>
      <c r="G248" s="238">
        <v>68</v>
      </c>
      <c r="H248" s="238">
        <v>216</v>
      </c>
      <c r="I248" s="239">
        <v>182</v>
      </c>
      <c r="J248" s="238">
        <v>43</v>
      </c>
    </row>
    <row r="249" spans="2:10">
      <c r="B249" s="155" t="s">
        <v>155</v>
      </c>
      <c r="C249" s="103">
        <v>296</v>
      </c>
      <c r="D249" s="103">
        <v>220</v>
      </c>
      <c r="E249" s="103">
        <v>3</v>
      </c>
      <c r="F249" s="240">
        <v>137</v>
      </c>
      <c r="G249" s="241">
        <v>72</v>
      </c>
      <c r="H249" s="241">
        <v>137</v>
      </c>
      <c r="I249" s="242">
        <v>147</v>
      </c>
      <c r="J249" s="241">
        <v>16</v>
      </c>
    </row>
    <row r="250" spans="2:10">
      <c r="B250" s="158" t="s">
        <v>156</v>
      </c>
      <c r="C250" s="106">
        <v>134</v>
      </c>
      <c r="D250" s="106">
        <v>282</v>
      </c>
      <c r="E250" s="106">
        <v>4</v>
      </c>
      <c r="F250" s="237">
        <v>58</v>
      </c>
      <c r="G250" s="238">
        <v>36</v>
      </c>
      <c r="H250" s="238">
        <v>183</v>
      </c>
      <c r="I250" s="239">
        <v>117</v>
      </c>
      <c r="J250" s="238">
        <v>21</v>
      </c>
    </row>
    <row r="251" spans="2:10">
      <c r="B251" s="155" t="s">
        <v>157</v>
      </c>
      <c r="C251" s="103">
        <v>202</v>
      </c>
      <c r="D251" s="103">
        <v>141</v>
      </c>
      <c r="E251" s="103">
        <v>6</v>
      </c>
      <c r="F251" s="240">
        <v>50</v>
      </c>
      <c r="G251" s="241">
        <v>22</v>
      </c>
      <c r="H251" s="241">
        <v>66</v>
      </c>
      <c r="I251" s="242">
        <v>142</v>
      </c>
      <c r="J251" s="241">
        <v>68</v>
      </c>
    </row>
    <row r="252" spans="2:10">
      <c r="B252" s="158" t="s">
        <v>158</v>
      </c>
      <c r="C252" s="106">
        <v>73</v>
      </c>
      <c r="D252" s="106">
        <v>274</v>
      </c>
      <c r="E252" s="106">
        <v>0</v>
      </c>
      <c r="F252" s="237">
        <v>92</v>
      </c>
      <c r="G252" s="238">
        <v>12</v>
      </c>
      <c r="H252" s="238">
        <v>201</v>
      </c>
      <c r="I252" s="239">
        <v>41</v>
      </c>
      <c r="J252" s="238">
        <v>4</v>
      </c>
    </row>
    <row r="253" spans="2:10">
      <c r="B253" s="155" t="s">
        <v>159</v>
      </c>
      <c r="C253" s="103">
        <v>61</v>
      </c>
      <c r="D253" s="103">
        <v>137</v>
      </c>
      <c r="E253" s="103">
        <v>0</v>
      </c>
      <c r="F253" s="240">
        <v>61</v>
      </c>
      <c r="G253" s="241">
        <v>31</v>
      </c>
      <c r="H253" s="241">
        <v>62</v>
      </c>
      <c r="I253" s="242">
        <v>34</v>
      </c>
      <c r="J253" s="241">
        <v>15</v>
      </c>
    </row>
    <row r="254" spans="2:10">
      <c r="B254" s="158" t="s">
        <v>160</v>
      </c>
      <c r="C254" s="106">
        <v>43</v>
      </c>
      <c r="D254" s="106">
        <v>128</v>
      </c>
      <c r="E254" s="106">
        <v>0</v>
      </c>
      <c r="F254" s="237">
        <v>41</v>
      </c>
      <c r="G254" s="238">
        <v>5</v>
      </c>
      <c r="H254" s="238">
        <v>112</v>
      </c>
      <c r="I254" s="239">
        <v>11</v>
      </c>
      <c r="J254" s="238">
        <v>0</v>
      </c>
    </row>
    <row r="255" spans="2:10">
      <c r="B255" s="155" t="s">
        <v>161</v>
      </c>
      <c r="C255" s="103">
        <v>44</v>
      </c>
      <c r="D255" s="103">
        <v>113</v>
      </c>
      <c r="E255" s="103">
        <v>8</v>
      </c>
      <c r="F255" s="240">
        <v>42</v>
      </c>
      <c r="G255" s="241">
        <v>17</v>
      </c>
      <c r="H255" s="241">
        <v>83</v>
      </c>
      <c r="I255" s="242">
        <v>20</v>
      </c>
      <c r="J255" s="241">
        <v>3</v>
      </c>
    </row>
    <row r="256" spans="2:10">
      <c r="B256" s="158" t="s">
        <v>162</v>
      </c>
      <c r="C256" s="106">
        <v>48</v>
      </c>
      <c r="D256" s="106">
        <v>93</v>
      </c>
      <c r="E256" s="106">
        <v>13</v>
      </c>
      <c r="F256" s="237">
        <v>24</v>
      </c>
      <c r="G256" s="238">
        <v>22</v>
      </c>
      <c r="H256" s="238">
        <v>39</v>
      </c>
      <c r="I256" s="239">
        <v>62</v>
      </c>
      <c r="J256" s="238">
        <v>14</v>
      </c>
    </row>
    <row r="257" spans="2:11">
      <c r="B257" s="155" t="s">
        <v>163</v>
      </c>
      <c r="C257" s="103">
        <v>46</v>
      </c>
      <c r="D257" s="103">
        <v>53</v>
      </c>
      <c r="E257" s="103">
        <v>5</v>
      </c>
      <c r="F257" s="240">
        <v>33</v>
      </c>
      <c r="G257" s="241">
        <v>15</v>
      </c>
      <c r="H257" s="241">
        <v>28</v>
      </c>
      <c r="I257" s="242">
        <v>19</v>
      </c>
      <c r="J257" s="241">
        <v>0</v>
      </c>
    </row>
    <row r="258" spans="2:11">
      <c r="B258" s="158" t="s">
        <v>164</v>
      </c>
      <c r="C258" s="106">
        <v>64</v>
      </c>
      <c r="D258" s="106">
        <v>0</v>
      </c>
      <c r="E258" s="106">
        <v>3</v>
      </c>
      <c r="F258" s="237">
        <v>18</v>
      </c>
      <c r="G258" s="238">
        <v>10</v>
      </c>
      <c r="H258" s="238">
        <v>24</v>
      </c>
      <c r="I258" s="239">
        <v>12</v>
      </c>
      <c r="J258" s="238">
        <v>6</v>
      </c>
    </row>
    <row r="259" spans="2:11">
      <c r="B259" s="155" t="s">
        <v>165</v>
      </c>
      <c r="C259" s="103">
        <v>48</v>
      </c>
      <c r="D259" s="103">
        <v>18</v>
      </c>
      <c r="E259" s="103">
        <v>0</v>
      </c>
      <c r="F259" s="240">
        <v>0</v>
      </c>
      <c r="G259" s="241">
        <v>5</v>
      </c>
      <c r="H259" s="241">
        <v>38</v>
      </c>
      <c r="I259" s="242">
        <v>13</v>
      </c>
      <c r="J259" s="241">
        <v>5</v>
      </c>
    </row>
    <row r="260" spans="2:11">
      <c r="B260" s="158" t="s">
        <v>166</v>
      </c>
      <c r="C260" s="106">
        <v>39</v>
      </c>
      <c r="D260" s="106">
        <v>17</v>
      </c>
      <c r="E260" s="106">
        <v>3</v>
      </c>
      <c r="F260" s="237">
        <v>13</v>
      </c>
      <c r="G260" s="238">
        <v>7</v>
      </c>
      <c r="H260" s="238">
        <v>21</v>
      </c>
      <c r="I260" s="239">
        <v>13</v>
      </c>
      <c r="J260" s="238">
        <v>9</v>
      </c>
    </row>
    <row r="261" spans="2:11">
      <c r="B261" s="155" t="s">
        <v>167</v>
      </c>
      <c r="C261" s="103">
        <v>41</v>
      </c>
      <c r="D261" s="103">
        <v>7</v>
      </c>
      <c r="E261" s="103">
        <v>0</v>
      </c>
      <c r="F261" s="240">
        <v>3</v>
      </c>
      <c r="G261" s="241">
        <v>8</v>
      </c>
      <c r="H261" s="241">
        <v>10</v>
      </c>
      <c r="I261" s="242">
        <v>26</v>
      </c>
      <c r="J261" s="241">
        <v>6</v>
      </c>
    </row>
    <row r="262" spans="2:11">
      <c r="B262" s="158" t="s">
        <v>168</v>
      </c>
      <c r="C262" s="106">
        <v>26</v>
      </c>
      <c r="D262" s="106">
        <v>8</v>
      </c>
      <c r="E262" s="106">
        <v>3</v>
      </c>
      <c r="F262" s="237">
        <v>4</v>
      </c>
      <c r="G262" s="238">
        <v>3</v>
      </c>
      <c r="H262" s="238">
        <v>11</v>
      </c>
      <c r="I262" s="239">
        <v>14</v>
      </c>
      <c r="J262" s="238">
        <v>9</v>
      </c>
    </row>
    <row r="263" spans="2:11">
      <c r="B263" s="158" t="s">
        <v>71</v>
      </c>
      <c r="C263" s="106">
        <v>735</v>
      </c>
      <c r="D263" s="106">
        <v>423</v>
      </c>
      <c r="E263" s="106">
        <v>26</v>
      </c>
      <c r="F263" s="237">
        <v>263</v>
      </c>
      <c r="G263" s="238">
        <v>123</v>
      </c>
      <c r="H263" s="238">
        <v>425</v>
      </c>
      <c r="I263" s="239">
        <v>306</v>
      </c>
      <c r="J263" s="238">
        <v>72</v>
      </c>
    </row>
    <row r="264" spans="2:11">
      <c r="B264" s="158" t="s">
        <v>58</v>
      </c>
      <c r="C264" s="106">
        <v>791</v>
      </c>
      <c r="D264" s="106">
        <v>246</v>
      </c>
      <c r="E264" s="106">
        <v>2680</v>
      </c>
      <c r="F264" s="237">
        <v>713</v>
      </c>
      <c r="G264" s="238">
        <v>415</v>
      </c>
      <c r="H264" s="238">
        <v>1224</v>
      </c>
      <c r="I264" s="239">
        <v>1032</v>
      </c>
      <c r="J264" s="238">
        <v>335</v>
      </c>
    </row>
    <row r="265" spans="2:11" ht="15.75">
      <c r="B265" s="115" t="s">
        <v>72</v>
      </c>
      <c r="C265" s="116">
        <f>C16</f>
        <v>15931</v>
      </c>
      <c r="D265" s="116">
        <f>C17</f>
        <v>5796</v>
      </c>
      <c r="E265" s="116">
        <f>C18</f>
        <v>3016</v>
      </c>
      <c r="F265" s="117" t="s">
        <v>178</v>
      </c>
      <c r="G265" s="116" t="s">
        <v>174</v>
      </c>
      <c r="H265" s="116" t="s">
        <v>175</v>
      </c>
      <c r="I265" s="116" t="s">
        <v>176</v>
      </c>
      <c r="J265" s="116" t="s">
        <v>177</v>
      </c>
    </row>
    <row r="266" spans="2:11">
      <c r="J266" s="180"/>
    </row>
    <row r="267" spans="2:11">
      <c r="J267" s="183"/>
    </row>
    <row r="268" spans="2:11" ht="15.75">
      <c r="K268" s="576" t="s">
        <v>642</v>
      </c>
    </row>
    <row r="269" spans="2:11" ht="15.75">
      <c r="B269" s="499" t="s">
        <v>857</v>
      </c>
      <c r="C269" s="500"/>
      <c r="D269" s="500"/>
      <c r="E269" s="500"/>
      <c r="F269" s="500"/>
      <c r="G269" s="500"/>
      <c r="H269" s="500"/>
      <c r="I269" s="500"/>
      <c r="J269" s="501"/>
    </row>
    <row r="270" spans="2:11" ht="15.75">
      <c r="B270" s="502" t="s">
        <v>424</v>
      </c>
      <c r="C270" s="503"/>
      <c r="D270" s="503"/>
      <c r="E270" s="503"/>
      <c r="F270" s="503"/>
      <c r="G270" s="503"/>
      <c r="H270" s="503"/>
      <c r="I270" s="503"/>
      <c r="J270" s="504"/>
    </row>
    <row r="271" spans="2:11" ht="15.75">
      <c r="B271" s="505" t="s">
        <v>824</v>
      </c>
      <c r="C271" s="506"/>
      <c r="D271" s="506"/>
      <c r="E271" s="506"/>
      <c r="F271" s="506"/>
      <c r="G271" s="506"/>
      <c r="H271" s="506"/>
      <c r="I271" s="506"/>
      <c r="J271" s="507"/>
    </row>
  </sheetData>
  <sheetProtection algorithmName="SHA-512" hashValue="Y6NQ3EuK4WRckzUB4e0/Za6slKGRo7cVANia26JKMWWSAjfd9VBAYsiYaMeCyyVL+Z1im6UteM7Ve0xva6wSJw==" saltValue="Jz72vNp0ecCn50auO++27Q==" spinCount="100000" sheet="1" objects="1" scenarios="1"/>
  <mergeCells count="2">
    <mergeCell ref="C199:F199"/>
    <mergeCell ref="J1:K1"/>
  </mergeCells>
  <hyperlinks>
    <hyperlink ref="J1:K1" location="'Index '!A1" display="Back to Index"/>
    <hyperlink ref="K268" location="'3.2 Alice Springs'!K1" display="Back to top"/>
  </hyperlinks>
  <pageMargins left="0.3543307086614173" right="3.937007874015748E-2" top="0.51181102362204722" bottom="0.3543307086614173" header="0.11811023622047244" footer="0.11811023622047244"/>
  <pageSetup paperSize="9" scale="56" fitToHeight="10" orientation="portrait" r:id="rId1"/>
  <headerFooter differentFirst="1" alignWithMargins="0">
    <oddHeader>&amp;L&amp;"Helvetica Bold,Bold"&amp;18&amp;K000000&amp;A</oddHeader>
    <oddFooter>&amp;L&amp;"Helvetica,Regular"&amp;K000000&amp;P&amp;R&amp;"Helvetica,Regular"&amp;K000000The People of the Northern Territory in the 2016 Census</oddFooter>
  </headerFooter>
  <ignoredErrors>
    <ignoredError sqref="D15:D17 D19:D25" calculatedColumn="1"/>
  </ignoredErrors>
  <drawing r:id="rId2"/>
  <tableParts count="6">
    <tablePart r:id="rId3"/>
    <tablePart r:id="rId4"/>
    <tablePart r:id="rId5"/>
    <tablePart r:id="rId6"/>
    <tablePart r:id="rId7"/>
    <tablePart r:id="rId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50"/>
  <sheetViews>
    <sheetView showGridLines="0" zoomScaleNormal="100" zoomScaleSheetLayoutView="100" zoomScalePageLayoutView="75" workbookViewId="0">
      <selection activeCell="A11" sqref="A11"/>
    </sheetView>
  </sheetViews>
  <sheetFormatPr defaultColWidth="15.625" defaultRowHeight="12.75"/>
  <cols>
    <col min="1" max="1" width="5.875" style="118" customWidth="1"/>
    <col min="2" max="2" width="41.375" style="118" customWidth="1"/>
    <col min="3" max="10" width="10.875" style="118" customWidth="1"/>
    <col min="11" max="11" width="11.625" style="118" customWidth="1"/>
    <col min="12" max="14" width="15.625" style="118" customWidth="1"/>
    <col min="15" max="18" width="15.625" style="118"/>
    <col min="19" max="28" width="15.625" style="118" customWidth="1"/>
    <col min="29" max="16384" width="15.625" style="118"/>
  </cols>
  <sheetData>
    <row r="1" spans="1:11" ht="15.75">
      <c r="J1" s="1229" t="s">
        <v>359</v>
      </c>
      <c r="K1" s="1229"/>
    </row>
    <row r="2" spans="1:11" ht="30">
      <c r="A2" s="119"/>
      <c r="B2" s="119" t="s">
        <v>881</v>
      </c>
      <c r="C2" s="120"/>
      <c r="D2" s="120"/>
      <c r="E2" s="120"/>
      <c r="F2" s="120"/>
      <c r="G2" s="121"/>
      <c r="H2" s="121"/>
      <c r="I2" s="121"/>
      <c r="J2" s="121"/>
      <c r="K2" s="121"/>
    </row>
    <row r="3" spans="1:11">
      <c r="B3" s="122"/>
      <c r="C3" s="122"/>
      <c r="D3" s="122"/>
      <c r="E3" s="122"/>
      <c r="F3" s="122"/>
    </row>
    <row r="4" spans="1:11">
      <c r="B4" s="122"/>
      <c r="C4" s="122"/>
      <c r="D4" s="122"/>
      <c r="E4" s="122"/>
      <c r="F4" s="122"/>
    </row>
    <row r="5" spans="1:11">
      <c r="B5" s="122"/>
      <c r="C5" s="122"/>
      <c r="D5" s="122"/>
      <c r="E5" s="122"/>
      <c r="F5" s="122"/>
    </row>
    <row r="6" spans="1:11">
      <c r="B6" s="123"/>
      <c r="C6" s="123"/>
      <c r="D6" s="123"/>
      <c r="E6" s="122"/>
      <c r="F6" s="122"/>
    </row>
    <row r="7" spans="1:11" ht="15">
      <c r="B7" s="124" t="s">
        <v>0</v>
      </c>
      <c r="C7" s="125" t="s">
        <v>1</v>
      </c>
      <c r="D7" s="123"/>
      <c r="E7" s="122"/>
      <c r="F7" s="122"/>
    </row>
    <row r="8" spans="1:11" ht="15">
      <c r="B8" s="126" t="s">
        <v>2</v>
      </c>
      <c r="C8" s="125">
        <f>D16</f>
        <v>0.84911331529906819</v>
      </c>
      <c r="D8" s="123"/>
      <c r="E8" s="122"/>
      <c r="F8" s="122"/>
    </row>
    <row r="9" spans="1:11" ht="15">
      <c r="B9" s="126" t="s">
        <v>3</v>
      </c>
      <c r="C9" s="125">
        <f>D18</f>
        <v>7.5293056807935077E-2</v>
      </c>
      <c r="D9" s="123"/>
      <c r="E9" s="122"/>
      <c r="F9" s="122"/>
    </row>
    <row r="10" spans="1:11" ht="15">
      <c r="B10" s="126" t="s">
        <v>4</v>
      </c>
      <c r="C10" s="125">
        <f>D19</f>
        <v>2.660054102795311E-2</v>
      </c>
      <c r="D10" s="123"/>
      <c r="E10" s="122"/>
      <c r="F10" s="122"/>
    </row>
    <row r="11" spans="1:11" ht="15">
      <c r="B11" s="126" t="s">
        <v>5</v>
      </c>
      <c r="C11" s="125">
        <f>D20</f>
        <v>4.9143372407574389E-2</v>
      </c>
      <c r="D11" s="123"/>
      <c r="E11" s="122"/>
      <c r="F11" s="122"/>
    </row>
    <row r="12" spans="1:11" ht="23.25">
      <c r="B12" s="127" t="s">
        <v>652</v>
      </c>
    </row>
    <row r="14" spans="1:11" s="128" customFormat="1" ht="25.5">
      <c r="B14" s="252" t="s">
        <v>0</v>
      </c>
      <c r="C14" s="233" t="s">
        <v>6</v>
      </c>
      <c r="D14" s="233" t="s">
        <v>1</v>
      </c>
      <c r="E14" s="233" t="s">
        <v>7</v>
      </c>
      <c r="F14" s="233" t="s">
        <v>65</v>
      </c>
      <c r="G14" s="233" t="s">
        <v>8</v>
      </c>
    </row>
    <row r="15" spans="1:11" s="129" customFormat="1">
      <c r="B15" s="262" t="s">
        <v>9</v>
      </c>
      <c r="C15" s="263">
        <v>6654</v>
      </c>
      <c r="D15" s="54">
        <f>SUM(C15/C15)</f>
        <v>1</v>
      </c>
      <c r="E15" s="263">
        <v>6823</v>
      </c>
      <c r="F15" s="55">
        <f>(Table4791113157212573[[#This Row],[Persons]]-Table4791113157212573[[#This Row],[2011 Census]])</f>
        <v>-169</v>
      </c>
      <c r="G15" s="54">
        <f>(Table4791113157212573[[#This Row],[Change 2011-2016]]/Table4791113157212573[[#This Row],[2011 Census]])</f>
        <v>-2.4769163124725196E-2</v>
      </c>
    </row>
    <row r="16" spans="1:11" s="129" customFormat="1">
      <c r="B16" s="262" t="s">
        <v>2</v>
      </c>
      <c r="C16" s="263">
        <v>5650</v>
      </c>
      <c r="D16" s="54">
        <f>SUM(C16/C15)</f>
        <v>0.84911331529906819</v>
      </c>
      <c r="E16" s="264">
        <v>6026</v>
      </c>
      <c r="F16" s="55">
        <f>(Table4791113157212573[[#This Row],[Persons]]-Table4791113157212573[[#This Row],[2011 Census]])</f>
        <v>-376</v>
      </c>
      <c r="G16" s="54">
        <f>(Table4791113157212573[[#This Row],[Change 2011-2016]]/Table4791113157212573[[#This Row],[2011 Census]])</f>
        <v>-6.2396282774643215E-2</v>
      </c>
    </row>
    <row r="17" spans="2:8" s="129" customFormat="1">
      <c r="B17" s="262" t="s">
        <v>362</v>
      </c>
      <c r="C17" s="263">
        <v>505</v>
      </c>
      <c r="D17" s="54">
        <f>SUM(C17/C15)</f>
        <v>7.5894198978058311E-2</v>
      </c>
      <c r="E17" s="264">
        <v>372</v>
      </c>
      <c r="F17" s="55">
        <f>(Table4791113157212573[[#This Row],[Persons]]-Table4791113157212573[[#This Row],[2011 Census]])</f>
        <v>133</v>
      </c>
      <c r="G17" s="54">
        <f>(Table4791113157212573[[#This Row],[Change 2011-2016]]/Table4791113157212573[[#This Row],[2011 Census]])</f>
        <v>0.35752688172043012</v>
      </c>
    </row>
    <row r="18" spans="2:8" s="129" customFormat="1">
      <c r="B18" s="262" t="s">
        <v>3</v>
      </c>
      <c r="C18" s="263">
        <v>501</v>
      </c>
      <c r="D18" s="54">
        <f>SUM(C18/C15)</f>
        <v>7.5293056807935077E-2</v>
      </c>
      <c r="E18" s="264">
        <v>424</v>
      </c>
      <c r="F18" s="55">
        <f>(Table4791113157212573[[#This Row],[Persons]]-Table4791113157212573[[#This Row],[2011 Census]])</f>
        <v>77</v>
      </c>
      <c r="G18" s="54">
        <f>(Table4791113157212573[[#This Row],[Change 2011-2016]]/Table4791113157212573[[#This Row],[2011 Census]])</f>
        <v>0.18160377358490565</v>
      </c>
    </row>
    <row r="19" spans="2:8" s="129" customFormat="1" ht="15.95" customHeight="1">
      <c r="B19" s="262" t="s">
        <v>4</v>
      </c>
      <c r="C19" s="263">
        <v>177</v>
      </c>
      <c r="D19" s="54">
        <f>SUM(C19/C15)</f>
        <v>2.660054102795311E-2</v>
      </c>
      <c r="E19" s="264">
        <v>165</v>
      </c>
      <c r="F19" s="55">
        <f>(Table4791113157212573[[#This Row],[Persons]]-Table4791113157212573[[#This Row],[2011 Census]])</f>
        <v>12</v>
      </c>
      <c r="G19" s="54">
        <f>(Table4791113157212573[[#This Row],[Change 2011-2016]]/Table4791113157212573[[#This Row],[2011 Census]])</f>
        <v>7.2727272727272724E-2</v>
      </c>
    </row>
    <row r="20" spans="2:8" s="129" customFormat="1">
      <c r="B20" s="262" t="s">
        <v>5</v>
      </c>
      <c r="C20" s="263">
        <v>327</v>
      </c>
      <c r="D20" s="54">
        <f>SUM(C20/C15)</f>
        <v>4.9143372407574389E-2</v>
      </c>
      <c r="E20" s="264">
        <v>207</v>
      </c>
      <c r="F20" s="55">
        <f>(Table4791113157212573[[#This Row],[Persons]]-Table4791113157212573[[#This Row],[2011 Census]])</f>
        <v>120</v>
      </c>
      <c r="G20" s="54">
        <f>(Table4791113157212573[[#This Row],[Change 2011-2016]]/Table4791113157212573[[#This Row],[2011 Census]])</f>
        <v>0.57971014492753625</v>
      </c>
    </row>
    <row r="21" spans="2:8" s="129" customFormat="1">
      <c r="B21" s="262" t="s">
        <v>11</v>
      </c>
      <c r="C21" s="263">
        <v>232</v>
      </c>
      <c r="D21" s="54">
        <f>SUM(C21/C15)</f>
        <v>3.486624586714758E-2</v>
      </c>
      <c r="E21" s="264">
        <v>207</v>
      </c>
      <c r="F21" s="55">
        <f>(Table4791113157212573[[#This Row],[Persons]]-Table4791113157212573[[#This Row],[2011 Census]])</f>
        <v>25</v>
      </c>
      <c r="G21" s="54">
        <f>(Table4791113157212573[[#This Row],[Change 2011-2016]]/Table4791113157212573[[#This Row],[2011 Census]])</f>
        <v>0.12077294685990338</v>
      </c>
    </row>
    <row r="22" spans="2:8" s="129" customFormat="1">
      <c r="B22" s="262" t="s">
        <v>12</v>
      </c>
      <c r="C22" s="263">
        <v>4531</v>
      </c>
      <c r="D22" s="54">
        <f>SUM(C22/C15)</f>
        <v>0.68094379320709353</v>
      </c>
      <c r="E22" s="264">
        <v>4718</v>
      </c>
      <c r="F22" s="55">
        <f>(Table4791113157212573[[#This Row],[Persons]]-Table4791113157212573[[#This Row],[2011 Census]])</f>
        <v>-187</v>
      </c>
      <c r="G22" s="54">
        <f>(Table4791113157212573[[#This Row],[Change 2011-2016]]/Table4791113157212573[[#This Row],[2011 Census]])</f>
        <v>-3.9635438745231032E-2</v>
      </c>
    </row>
    <row r="23" spans="2:8" s="129" customFormat="1">
      <c r="B23" s="262" t="s">
        <v>13</v>
      </c>
      <c r="C23" s="265">
        <v>3304</v>
      </c>
      <c r="D23" s="54">
        <f>SUM(C23/C15)</f>
        <v>0.49654343252179139</v>
      </c>
      <c r="E23" s="264">
        <v>2937</v>
      </c>
      <c r="F23" s="55">
        <f>(Table4791113157212573[[#This Row],[Persons]]-Table4791113157212573[[#This Row],[2011 Census]])</f>
        <v>367</v>
      </c>
      <c r="G23" s="54">
        <f>(Table4791113157212573[[#This Row],[Change 2011-2016]]/Table4791113157212573[[#This Row],[2011 Census]])</f>
        <v>0.12495743956418114</v>
      </c>
    </row>
    <row r="24" spans="2:8" s="129" customFormat="1">
      <c r="B24" s="262" t="s">
        <v>869</v>
      </c>
      <c r="C24" s="263">
        <v>162</v>
      </c>
      <c r="D24" s="54">
        <f>SUM(C24/C15)</f>
        <v>2.4346257889990983E-2</v>
      </c>
      <c r="E24" s="264">
        <v>96</v>
      </c>
      <c r="F24" s="55">
        <f>(Table4791113157212573[[#This Row],[Persons]]-Table4791113157212573[[#This Row],[2011 Census]])</f>
        <v>66</v>
      </c>
      <c r="G24" s="54">
        <f>(Table4791113157212573[[#This Row],[Change 2011-2016]]/Table4791113157212573[[#This Row],[2011 Census]])</f>
        <v>0.6875</v>
      </c>
    </row>
    <row r="25" spans="2:8" s="129" customFormat="1" ht="17.100000000000001" customHeight="1">
      <c r="B25" s="262" t="s">
        <v>870</v>
      </c>
      <c r="C25" s="263">
        <v>111</v>
      </c>
      <c r="D25" s="54">
        <f>SUM(C25/C15)</f>
        <v>1.6681695220919748E-2</v>
      </c>
      <c r="E25" s="264">
        <v>62</v>
      </c>
      <c r="F25" s="55">
        <f>(Table4791113157212573[[#This Row],[Persons]]-Table4791113157212573[[#This Row],[2011 Census]])</f>
        <v>49</v>
      </c>
      <c r="G25" s="54">
        <f>(Table4791113157212573[[#This Row],[Change 2011-2016]]/Table4791113157212573[[#This Row],[2011 Census]])</f>
        <v>0.79032258064516125</v>
      </c>
    </row>
    <row r="26" spans="2:8" s="129" customFormat="1">
      <c r="B26" s="349" t="s">
        <v>366</v>
      </c>
    </row>
    <row r="27" spans="2:8" s="129" customFormat="1"/>
    <row r="28" spans="2:8" s="129" customFormat="1" ht="23.25">
      <c r="B28" s="127" t="s">
        <v>653</v>
      </c>
      <c r="D28" s="131"/>
      <c r="E28" s="132"/>
      <c r="F28" s="132"/>
      <c r="G28" s="132"/>
      <c r="H28" s="132"/>
    </row>
    <row r="29" spans="2:8" s="129" customFormat="1" ht="15.75">
      <c r="B29" s="133" t="s">
        <v>333</v>
      </c>
    </row>
    <row r="30" spans="2:8" s="128" customFormat="1" ht="25.5">
      <c r="B30" s="252" t="s">
        <v>14</v>
      </c>
      <c r="C30" s="233" t="s">
        <v>15</v>
      </c>
      <c r="D30" s="233" t="s">
        <v>16</v>
      </c>
      <c r="E30" s="233" t="s">
        <v>17</v>
      </c>
      <c r="F30" s="233" t="s">
        <v>18</v>
      </c>
      <c r="G30" s="233" t="s">
        <v>19</v>
      </c>
      <c r="H30" s="233" t="s">
        <v>20</v>
      </c>
    </row>
    <row r="31" spans="2:8" s="129" customFormat="1" ht="18.95" customHeight="1">
      <c r="B31" s="253" t="s">
        <v>73</v>
      </c>
      <c r="C31" s="254">
        <v>42</v>
      </c>
      <c r="D31" s="254">
        <v>33</v>
      </c>
      <c r="E31" s="254">
        <v>79</v>
      </c>
      <c r="F31" s="244">
        <f>SUM(Table55202462[[#This Row],[Persons 2016]]/$C$17)</f>
        <v>0.15643564356435644</v>
      </c>
      <c r="G31" s="255">
        <v>64</v>
      </c>
      <c r="H31" s="59">
        <f>IFERROR((Table55202462[[#This Row],[Persons 2016]]-Table55202462[[#This Row],[Persons 2011]])/Table55202462[[#This Row],[Persons 2011]],"..")</f>
        <v>0.234375</v>
      </c>
    </row>
    <row r="32" spans="2:8" s="129" customFormat="1">
      <c r="B32" s="253" t="s">
        <v>76</v>
      </c>
      <c r="C32" s="254">
        <v>19</v>
      </c>
      <c r="D32" s="254">
        <v>59</v>
      </c>
      <c r="E32" s="254">
        <v>75</v>
      </c>
      <c r="F32" s="244">
        <f>SUM(Table55202462[[#This Row],[Persons 2016]]/$C$17)</f>
        <v>0.14851485148514851</v>
      </c>
      <c r="G32" s="254">
        <v>50</v>
      </c>
      <c r="H32" s="59">
        <f>IFERROR((Table55202462[[#This Row],[Persons 2016]]-Table55202462[[#This Row],[Persons 2011]])/Table55202462[[#This Row],[Persons 2011]],"..")</f>
        <v>0.5</v>
      </c>
    </row>
    <row r="33" spans="2:10" s="129" customFormat="1">
      <c r="B33" s="253" t="s">
        <v>92</v>
      </c>
      <c r="C33" s="254">
        <v>38</v>
      </c>
      <c r="D33" s="254">
        <v>30</v>
      </c>
      <c r="E33" s="254">
        <v>67</v>
      </c>
      <c r="F33" s="244">
        <f>SUM(Table55202462[[#This Row],[Persons 2016]]/$C$17)</f>
        <v>0.13267326732673268</v>
      </c>
      <c r="G33" s="254">
        <v>65</v>
      </c>
      <c r="H33" s="59">
        <f>IFERROR((Table55202462[[#This Row],[Persons 2016]]-Table55202462[[#This Row],[Persons 2011]])/Table55202462[[#This Row],[Persons 2011]],"..")</f>
        <v>3.0769230769230771E-2</v>
      </c>
    </row>
    <row r="34" spans="2:10" s="129" customFormat="1">
      <c r="B34" s="253" t="s">
        <v>75</v>
      </c>
      <c r="C34" s="254">
        <v>22</v>
      </c>
      <c r="D34" s="254">
        <v>26</v>
      </c>
      <c r="E34" s="254">
        <v>43</v>
      </c>
      <c r="F34" s="244">
        <f>SUM(Table55202462[[#This Row],[Persons 2016]]/$C$17)</f>
        <v>8.5148514851485155E-2</v>
      </c>
      <c r="G34" s="254">
        <v>12</v>
      </c>
      <c r="H34" s="59">
        <f>IFERROR((Table55202462[[#This Row],[Persons 2016]]-Table55202462[[#This Row],[Persons 2011]])/Table55202462[[#This Row],[Persons 2011]],"..")</f>
        <v>2.5833333333333335</v>
      </c>
    </row>
    <row r="35" spans="2:10" s="129" customFormat="1">
      <c r="B35" s="253" t="s">
        <v>81</v>
      </c>
      <c r="C35" s="254">
        <v>6</v>
      </c>
      <c r="D35" s="254">
        <v>14</v>
      </c>
      <c r="E35" s="254">
        <v>23</v>
      </c>
      <c r="F35" s="244">
        <f>SUM(Table55202462[[#This Row],[Persons 2016]]/$C$17)</f>
        <v>4.5544554455445543E-2</v>
      </c>
      <c r="G35" s="254">
        <v>14</v>
      </c>
      <c r="H35" s="59">
        <f>IFERROR((Table55202462[[#This Row],[Persons 2016]]-Table55202462[[#This Row],[Persons 2011]])/Table55202462[[#This Row],[Persons 2011]],"..")</f>
        <v>0.6428571428571429</v>
      </c>
    </row>
    <row r="36" spans="2:10" s="129" customFormat="1">
      <c r="B36" s="253" t="s">
        <v>79</v>
      </c>
      <c r="C36" s="254">
        <v>14</v>
      </c>
      <c r="D36" s="254">
        <v>9</v>
      </c>
      <c r="E36" s="254">
        <v>20</v>
      </c>
      <c r="F36" s="244">
        <f>SUM(Table55202462[[#This Row],[Persons 2016]]/$C$17)</f>
        <v>3.9603960396039604E-2</v>
      </c>
      <c r="G36" s="254">
        <v>17</v>
      </c>
      <c r="H36" s="59">
        <f>IFERROR((Table55202462[[#This Row],[Persons 2016]]-Table55202462[[#This Row],[Persons 2011]])/Table55202462[[#This Row],[Persons 2011]],"..")</f>
        <v>0.17647058823529413</v>
      </c>
    </row>
    <row r="37" spans="2:10" s="129" customFormat="1">
      <c r="B37" s="253" t="s">
        <v>141</v>
      </c>
      <c r="C37" s="254">
        <v>4</v>
      </c>
      <c r="D37" s="254">
        <v>14</v>
      </c>
      <c r="E37" s="254">
        <v>17</v>
      </c>
      <c r="F37" s="244">
        <f>SUM(Table55202462[[#This Row],[Persons 2016]]/$C$17)</f>
        <v>3.3663366336633666E-2</v>
      </c>
      <c r="G37" s="254">
        <v>3</v>
      </c>
      <c r="H37" s="59">
        <f>IFERROR((Table55202462[[#This Row],[Persons 2016]]-Table55202462[[#This Row],[Persons 2011]])/Table55202462[[#This Row],[Persons 2011]],"..")</f>
        <v>4.666666666666667</v>
      </c>
    </row>
    <row r="38" spans="2:10" s="129" customFormat="1">
      <c r="B38" s="253" t="s">
        <v>91</v>
      </c>
      <c r="C38" s="254">
        <v>8</v>
      </c>
      <c r="D38" s="254">
        <v>3</v>
      </c>
      <c r="E38" s="254">
        <v>14</v>
      </c>
      <c r="F38" s="244">
        <f>SUM(Table55202462[[#This Row],[Persons 2016]]/$C$17)</f>
        <v>2.7722772277227723E-2</v>
      </c>
      <c r="G38" s="254" t="s">
        <v>94</v>
      </c>
      <c r="H38" s="59" t="str">
        <f>IFERROR((Table55202462[[#This Row],[Persons 2016]]-Table55202462[[#This Row],[Persons 2011]])/Table55202462[[#This Row],[Persons 2011]],"..")</f>
        <v>..</v>
      </c>
    </row>
    <row r="39" spans="2:10">
      <c r="B39" s="253" t="s">
        <v>77</v>
      </c>
      <c r="C39" s="254">
        <v>6</v>
      </c>
      <c r="D39" s="254">
        <v>10</v>
      </c>
      <c r="E39" s="254">
        <v>14</v>
      </c>
      <c r="F39" s="244">
        <f>SUM(Table55202462[[#This Row],[Persons 2016]]/$C$17)</f>
        <v>2.7722772277227723E-2</v>
      </c>
      <c r="G39" s="254">
        <v>7</v>
      </c>
      <c r="H39" s="59">
        <f>IFERROR((Table55202462[[#This Row],[Persons 2016]]-Table55202462[[#This Row],[Persons 2011]])/Table55202462[[#This Row],[Persons 2011]],"..")</f>
        <v>1</v>
      </c>
      <c r="I39" s="134"/>
      <c r="J39" s="134"/>
    </row>
    <row r="40" spans="2:10">
      <c r="B40" s="253" t="s">
        <v>129</v>
      </c>
      <c r="C40" s="254">
        <v>8</v>
      </c>
      <c r="D40" s="254">
        <v>4</v>
      </c>
      <c r="E40" s="254">
        <v>13</v>
      </c>
      <c r="F40" s="244">
        <f>SUM(Table55202462[[#This Row],[Persons 2016]]/$C$17)</f>
        <v>2.5742574257425741E-2</v>
      </c>
      <c r="G40" s="254" t="s">
        <v>94</v>
      </c>
      <c r="H40" s="59" t="str">
        <f>IFERROR((Table55202462[[#This Row],[Persons 2016]]-Table55202462[[#This Row],[Persons 2011]])/Table55202462[[#This Row],[Persons 2011]],"..")</f>
        <v>..</v>
      </c>
      <c r="I40" s="134"/>
      <c r="J40" s="134"/>
    </row>
    <row r="41" spans="2:10">
      <c r="B41" s="253" t="s">
        <v>126</v>
      </c>
      <c r="C41" s="254">
        <v>10</v>
      </c>
      <c r="D41" s="254">
        <v>5</v>
      </c>
      <c r="E41" s="254">
        <v>13</v>
      </c>
      <c r="F41" s="244">
        <f>SUM(Table55202462[[#This Row],[Persons 2016]]/$C$17)</f>
        <v>2.5742574257425741E-2</v>
      </c>
      <c r="G41" s="254">
        <v>4</v>
      </c>
      <c r="H41" s="59">
        <f>IFERROR((Table55202462[[#This Row],[Persons 2016]]-Table55202462[[#This Row],[Persons 2011]])/Table55202462[[#This Row],[Persons 2011]],"..")</f>
        <v>2.25</v>
      </c>
      <c r="I41" s="134"/>
      <c r="J41" s="134"/>
    </row>
    <row r="42" spans="2:10">
      <c r="B42" s="253" t="s">
        <v>78</v>
      </c>
      <c r="C42" s="254">
        <v>3</v>
      </c>
      <c r="D42" s="254">
        <v>3</v>
      </c>
      <c r="E42" s="254">
        <v>12</v>
      </c>
      <c r="F42" s="244">
        <f>SUM(Table55202462[[#This Row],[Persons 2016]]/$C$17)</f>
        <v>2.3762376237623763E-2</v>
      </c>
      <c r="G42" s="254">
        <v>6</v>
      </c>
      <c r="H42" s="59">
        <f>IFERROR((Table55202462[[#This Row],[Persons 2016]]-Table55202462[[#This Row],[Persons 2011]])/Table55202462[[#This Row],[Persons 2011]],"..")</f>
        <v>1</v>
      </c>
      <c r="I42" s="134"/>
      <c r="J42" s="134"/>
    </row>
    <row r="43" spans="2:10">
      <c r="B43" s="253" t="s">
        <v>140</v>
      </c>
      <c r="C43" s="254">
        <v>4</v>
      </c>
      <c r="D43" s="254">
        <v>6</v>
      </c>
      <c r="E43" s="254">
        <v>11</v>
      </c>
      <c r="F43" s="244">
        <f>SUM(Table55202462[[#This Row],[Persons 2016]]/$C$17)</f>
        <v>2.1782178217821781E-2</v>
      </c>
      <c r="G43" s="254" t="s">
        <v>94</v>
      </c>
      <c r="H43" s="59" t="str">
        <f>IFERROR((Table55202462[[#This Row],[Persons 2016]]-Table55202462[[#This Row],[Persons 2011]])/Table55202462[[#This Row],[Persons 2011]],"..")</f>
        <v>..</v>
      </c>
      <c r="I43" s="134"/>
      <c r="J43" s="134"/>
    </row>
    <row r="44" spans="2:10">
      <c r="B44" s="253" t="s">
        <v>86</v>
      </c>
      <c r="C44" s="254">
        <v>3</v>
      </c>
      <c r="D44" s="254">
        <v>7</v>
      </c>
      <c r="E44" s="254">
        <v>10</v>
      </c>
      <c r="F44" s="244">
        <f>SUM(Table55202462[[#This Row],[Persons 2016]]/$C$17)</f>
        <v>1.9801980198019802E-2</v>
      </c>
      <c r="G44" s="254">
        <v>9</v>
      </c>
      <c r="H44" s="59">
        <f>IFERROR((Table55202462[[#This Row],[Persons 2016]]-Table55202462[[#This Row],[Persons 2011]])/Table55202462[[#This Row],[Persons 2011]],"..")</f>
        <v>0.1111111111111111</v>
      </c>
      <c r="I44" s="134"/>
      <c r="J44" s="134"/>
    </row>
    <row r="45" spans="2:10">
      <c r="B45" s="253" t="s">
        <v>131</v>
      </c>
      <c r="C45" s="254">
        <v>4</v>
      </c>
      <c r="D45" s="254">
        <v>8</v>
      </c>
      <c r="E45" s="254">
        <v>9</v>
      </c>
      <c r="F45" s="244">
        <f>SUM(Table55202462[[#This Row],[Persons 2016]]/$C$17)</f>
        <v>1.782178217821782E-2</v>
      </c>
      <c r="G45" s="254">
        <v>14</v>
      </c>
      <c r="H45" s="59">
        <f>IFERROR((Table55202462[[#This Row],[Persons 2016]]-Table55202462[[#This Row],[Persons 2011]])/Table55202462[[#This Row],[Persons 2011]],"..")</f>
        <v>-0.35714285714285715</v>
      </c>
      <c r="I45" s="134"/>
      <c r="J45" s="134"/>
    </row>
    <row r="46" spans="2:10">
      <c r="B46" s="253" t="s">
        <v>90</v>
      </c>
      <c r="C46" s="254">
        <v>0</v>
      </c>
      <c r="D46" s="254">
        <v>0</v>
      </c>
      <c r="E46" s="254">
        <v>8</v>
      </c>
      <c r="F46" s="244">
        <f>SUM(Table55202462[[#This Row],[Persons 2016]]/$C$17)</f>
        <v>1.5841584158415842E-2</v>
      </c>
      <c r="G46" s="254">
        <v>4</v>
      </c>
      <c r="H46" s="59">
        <f>IFERROR((Table55202462[[#This Row],[Persons 2016]]-Table55202462[[#This Row],[Persons 2011]])/Table55202462[[#This Row],[Persons 2011]],"..")</f>
        <v>1</v>
      </c>
      <c r="I46" s="134"/>
      <c r="J46" s="134"/>
    </row>
    <row r="47" spans="2:10">
      <c r="B47" s="253" t="s">
        <v>335</v>
      </c>
      <c r="C47" s="254">
        <v>0</v>
      </c>
      <c r="D47" s="254">
        <v>3</v>
      </c>
      <c r="E47" s="254">
        <v>7</v>
      </c>
      <c r="F47" s="244">
        <f>SUM(Table55202462[[#This Row],[Persons 2016]]/$C$17)</f>
        <v>1.3861386138613862E-2</v>
      </c>
      <c r="G47" s="254">
        <v>6</v>
      </c>
      <c r="H47" s="59">
        <f>IFERROR((Table55202462[[#This Row],[Persons 2016]]-Table55202462[[#This Row],[Persons 2011]])/Table55202462[[#This Row],[Persons 2011]],"..")</f>
        <v>0.16666666666666666</v>
      </c>
      <c r="I47" s="134"/>
      <c r="J47" s="134"/>
    </row>
    <row r="48" spans="2:10">
      <c r="B48" s="253" t="s">
        <v>336</v>
      </c>
      <c r="C48" s="254">
        <v>0</v>
      </c>
      <c r="D48" s="254">
        <v>3</v>
      </c>
      <c r="E48" s="254">
        <v>7</v>
      </c>
      <c r="F48" s="244">
        <f>SUM(Table55202462[[#This Row],[Persons 2016]]/$C$17)</f>
        <v>1.3861386138613862E-2</v>
      </c>
      <c r="G48" s="254">
        <v>7</v>
      </c>
      <c r="H48" s="59">
        <f>IFERROR((Table55202462[[#This Row],[Persons 2016]]-Table55202462[[#This Row],[Persons 2011]])/Table55202462[[#This Row],[Persons 2011]],"..")</f>
        <v>0</v>
      </c>
      <c r="I48" s="134"/>
      <c r="J48" s="134"/>
    </row>
    <row r="49" spans="2:10">
      <c r="B49" s="253" t="s">
        <v>130</v>
      </c>
      <c r="C49" s="254">
        <v>4</v>
      </c>
      <c r="D49" s="254">
        <v>0</v>
      </c>
      <c r="E49" s="254">
        <v>6</v>
      </c>
      <c r="F49" s="244" t="s">
        <v>94</v>
      </c>
      <c r="G49" s="254" t="s">
        <v>94</v>
      </c>
      <c r="H49" s="59" t="s">
        <v>94</v>
      </c>
      <c r="I49" s="134"/>
      <c r="J49" s="134"/>
    </row>
    <row r="50" spans="2:10">
      <c r="B50" s="253" t="s">
        <v>83</v>
      </c>
      <c r="C50" s="254">
        <v>0</v>
      </c>
      <c r="D50" s="254">
        <v>0</v>
      </c>
      <c r="E50" s="254">
        <v>6</v>
      </c>
      <c r="F50" s="244" t="s">
        <v>94</v>
      </c>
      <c r="G50" s="254">
        <v>4</v>
      </c>
      <c r="H50" s="59">
        <f>IFERROR((Table55202462[[#This Row],[Persons 2016]]-Table55202462[[#This Row],[Persons 2011]])/Table55202462[[#This Row],[Persons 2011]],"..")</f>
        <v>0.5</v>
      </c>
      <c r="I50" s="134"/>
      <c r="J50" s="134"/>
    </row>
    <row r="51" spans="2:10">
      <c r="B51" s="256" t="s">
        <v>369</v>
      </c>
      <c r="C51" s="254">
        <f>C52-SUM(C31:C50)</f>
        <v>48</v>
      </c>
      <c r="D51" s="254">
        <f>D52-SUM(D31:D50)</f>
        <v>19</v>
      </c>
      <c r="E51" s="254">
        <f>E52-SUM(E31:E50)</f>
        <v>51</v>
      </c>
      <c r="F51" s="244">
        <f>SUM(Table55202462[[#This Row],[Persons 2016]]/$C$17)</f>
        <v>0.100990099009901</v>
      </c>
      <c r="G51" s="254">
        <v>56</v>
      </c>
      <c r="H51" s="59">
        <f>IFERROR((Table55202462[[#This Row],[Persons 2016]]-Table55202462[[#This Row],[Persons 2011]])/Table55202462[[#This Row],[Persons 2011]],"..")</f>
        <v>-8.9285714285714288E-2</v>
      </c>
      <c r="I51" s="134"/>
      <c r="J51" s="134"/>
    </row>
    <row r="52" spans="2:10">
      <c r="B52" s="257" t="s">
        <v>21</v>
      </c>
      <c r="C52" s="258">
        <v>243</v>
      </c>
      <c r="D52" s="258">
        <v>256</v>
      </c>
      <c r="E52" s="259">
        <f>C17</f>
        <v>505</v>
      </c>
      <c r="F52" s="260" t="s">
        <v>22</v>
      </c>
      <c r="G52" s="261">
        <f>E17</f>
        <v>372</v>
      </c>
      <c r="H52" s="62">
        <f>IFERROR((Table55202462[[#This Row],[Persons 2016]]-Table55202462[[#This Row],[Persons 2011]])/Table55202462[[#This Row],[Persons 2011]],"..")</f>
        <v>0.35752688172043012</v>
      </c>
      <c r="I52" s="137"/>
      <c r="J52" s="137"/>
    </row>
    <row r="53" spans="2:10" s="329" customFormat="1">
      <c r="B53" s="349" t="s">
        <v>366</v>
      </c>
    </row>
    <row r="54" spans="2:10" s="329" customFormat="1">
      <c r="B54" s="349"/>
    </row>
    <row r="55" spans="2:10" ht="23.25">
      <c r="B55" s="127" t="s">
        <v>654</v>
      </c>
    </row>
    <row r="56" spans="2:10" ht="15.75">
      <c r="B56" s="138" t="s">
        <v>832</v>
      </c>
    </row>
    <row r="57" spans="2:10">
      <c r="B57" s="118" t="s">
        <v>871</v>
      </c>
    </row>
    <row r="58" spans="2:10">
      <c r="B58" s="266" t="s">
        <v>14</v>
      </c>
      <c r="C58" s="139" t="s">
        <v>23</v>
      </c>
      <c r="D58" s="139" t="s">
        <v>24</v>
      </c>
      <c r="E58" s="139" t="s">
        <v>25</v>
      </c>
      <c r="F58" s="139" t="s">
        <v>26</v>
      </c>
      <c r="G58" s="139" t="s">
        <v>27</v>
      </c>
      <c r="H58" s="267" t="s">
        <v>28</v>
      </c>
    </row>
    <row r="59" spans="2:10">
      <c r="B59" s="268" t="s">
        <v>73</v>
      </c>
      <c r="C59" s="269">
        <v>5</v>
      </c>
      <c r="D59" s="269">
        <v>6</v>
      </c>
      <c r="E59" s="269">
        <v>20</v>
      </c>
      <c r="F59" s="206">
        <v>31</v>
      </c>
      <c r="G59" s="269">
        <v>11</v>
      </c>
      <c r="H59" s="270">
        <v>79</v>
      </c>
    </row>
    <row r="60" spans="2:10">
      <c r="B60" s="271" t="s">
        <v>76</v>
      </c>
      <c r="C60" s="272">
        <v>12</v>
      </c>
      <c r="D60" s="272">
        <v>7</v>
      </c>
      <c r="E60" s="272">
        <v>26</v>
      </c>
      <c r="F60" s="204">
        <v>22</v>
      </c>
      <c r="G60" s="272">
        <v>6</v>
      </c>
      <c r="H60" s="273">
        <v>75</v>
      </c>
    </row>
    <row r="61" spans="2:10">
      <c r="B61" s="274" t="s">
        <v>92</v>
      </c>
      <c r="C61" s="269">
        <v>0</v>
      </c>
      <c r="D61" s="269">
        <v>4</v>
      </c>
      <c r="E61" s="269">
        <v>7</v>
      </c>
      <c r="F61" s="206">
        <v>35</v>
      </c>
      <c r="G61" s="269">
        <v>14</v>
      </c>
      <c r="H61" s="275">
        <v>67</v>
      </c>
    </row>
    <row r="62" spans="2:10">
      <c r="B62" s="276" t="s">
        <v>75</v>
      </c>
      <c r="C62" s="272">
        <v>3</v>
      </c>
      <c r="D62" s="272">
        <v>0</v>
      </c>
      <c r="E62" s="272">
        <v>34</v>
      </c>
      <c r="F62" s="204">
        <v>4</v>
      </c>
      <c r="G62" s="272">
        <v>0</v>
      </c>
      <c r="H62" s="273">
        <v>43</v>
      </c>
    </row>
    <row r="63" spans="2:10">
      <c r="B63" s="268" t="s">
        <v>81</v>
      </c>
      <c r="C63" s="269">
        <v>0</v>
      </c>
      <c r="D63" s="269">
        <v>3</v>
      </c>
      <c r="E63" s="269">
        <v>5</v>
      </c>
      <c r="F63" s="206">
        <v>8</v>
      </c>
      <c r="G63" s="269">
        <v>0</v>
      </c>
      <c r="H63" s="275">
        <v>23</v>
      </c>
    </row>
    <row r="64" spans="2:10">
      <c r="B64" s="271" t="s">
        <v>79</v>
      </c>
      <c r="C64" s="272">
        <v>0</v>
      </c>
      <c r="D64" s="272">
        <v>0</v>
      </c>
      <c r="E64" s="272">
        <v>8</v>
      </c>
      <c r="F64" s="204">
        <v>5</v>
      </c>
      <c r="G64" s="272">
        <v>8</v>
      </c>
      <c r="H64" s="273">
        <v>20</v>
      </c>
    </row>
    <row r="65" spans="2:8">
      <c r="B65" s="268" t="s">
        <v>141</v>
      </c>
      <c r="C65" s="269">
        <v>0</v>
      </c>
      <c r="D65" s="269">
        <v>4</v>
      </c>
      <c r="E65" s="269">
        <v>10</v>
      </c>
      <c r="F65" s="206">
        <v>3</v>
      </c>
      <c r="G65" s="269">
        <v>0</v>
      </c>
      <c r="H65" s="275">
        <v>17</v>
      </c>
    </row>
    <row r="66" spans="2:8">
      <c r="B66" s="271" t="s">
        <v>91</v>
      </c>
      <c r="C66" s="272">
        <v>0</v>
      </c>
      <c r="D66" s="272">
        <v>0</v>
      </c>
      <c r="E66" s="272">
        <v>7</v>
      </c>
      <c r="F66" s="204">
        <v>0</v>
      </c>
      <c r="G66" s="272">
        <v>0</v>
      </c>
      <c r="H66" s="273">
        <v>14</v>
      </c>
    </row>
    <row r="67" spans="2:8">
      <c r="B67" s="268" t="s">
        <v>77</v>
      </c>
      <c r="C67" s="269">
        <v>0</v>
      </c>
      <c r="D67" s="269">
        <v>0</v>
      </c>
      <c r="E67" s="269">
        <v>5</v>
      </c>
      <c r="F67" s="206">
        <v>9</v>
      </c>
      <c r="G67" s="269">
        <v>0</v>
      </c>
      <c r="H67" s="275">
        <v>14</v>
      </c>
    </row>
    <row r="68" spans="2:8">
      <c r="B68" s="276" t="s">
        <v>129</v>
      </c>
      <c r="C68" s="272">
        <v>0</v>
      </c>
      <c r="D68" s="272">
        <v>0</v>
      </c>
      <c r="E68" s="272">
        <v>5</v>
      </c>
      <c r="F68" s="204">
        <v>0</v>
      </c>
      <c r="G68" s="272">
        <v>0</v>
      </c>
      <c r="H68" s="273">
        <v>13</v>
      </c>
    </row>
    <row r="69" spans="2:8">
      <c r="B69" s="277" t="s">
        <v>29</v>
      </c>
      <c r="C69" s="141">
        <v>1618</v>
      </c>
      <c r="D69" s="141">
        <v>998</v>
      </c>
      <c r="E69" s="141">
        <v>1633</v>
      </c>
      <c r="F69" s="141">
        <v>1073</v>
      </c>
      <c r="G69" s="141">
        <v>317</v>
      </c>
      <c r="H69" s="278">
        <v>5650</v>
      </c>
    </row>
    <row r="70" spans="2:8">
      <c r="B70" s="279" t="s">
        <v>30</v>
      </c>
      <c r="C70" s="142">
        <v>11</v>
      </c>
      <c r="D70" s="142">
        <v>11</v>
      </c>
      <c r="E70" s="142">
        <v>38</v>
      </c>
      <c r="F70" s="142">
        <v>84</v>
      </c>
      <c r="G70" s="143">
        <v>33</v>
      </c>
      <c r="H70" s="280">
        <v>177</v>
      </c>
    </row>
    <row r="71" spans="2:8">
      <c r="B71" s="281" t="s">
        <v>31</v>
      </c>
      <c r="C71" s="282">
        <v>24</v>
      </c>
      <c r="D71" s="282">
        <v>31</v>
      </c>
      <c r="E71" s="282">
        <v>159</v>
      </c>
      <c r="F71" s="282">
        <v>84</v>
      </c>
      <c r="G71" s="282">
        <v>29</v>
      </c>
      <c r="H71" s="283">
        <v>327</v>
      </c>
    </row>
    <row r="73" spans="2:8" ht="23.25">
      <c r="B73" s="127" t="s">
        <v>655</v>
      </c>
    </row>
    <row r="74" spans="2:8" ht="15.75">
      <c r="B74" s="138" t="s">
        <v>833</v>
      </c>
    </row>
    <row r="75" spans="2:8">
      <c r="B75" s="118" t="s">
        <v>843</v>
      </c>
    </row>
    <row r="76" spans="2:8">
      <c r="B76" s="139" t="s">
        <v>14</v>
      </c>
      <c r="C76" s="144" t="s">
        <v>23</v>
      </c>
      <c r="D76" s="144" t="s">
        <v>24</v>
      </c>
      <c r="E76" s="144" t="s">
        <v>25</v>
      </c>
      <c r="F76" s="144" t="s">
        <v>26</v>
      </c>
      <c r="G76" s="144" t="s">
        <v>27</v>
      </c>
      <c r="H76" s="145" t="s">
        <v>28</v>
      </c>
    </row>
    <row r="77" spans="2:8">
      <c r="B77" s="146" t="str">
        <f t="shared" ref="B77:B86" si="0">B59</f>
        <v>New Zealand</v>
      </c>
      <c r="C77" s="147">
        <f t="shared" ref="C77:C89" si="1">SUM(C59/H59)</f>
        <v>6.3291139240506333E-2</v>
      </c>
      <c r="D77" s="147">
        <f t="shared" ref="D77:D89" si="2">SUM(D59/H59)</f>
        <v>7.5949367088607597E-2</v>
      </c>
      <c r="E77" s="147">
        <f t="shared" ref="E77:E89" si="3">SUM(E59/H59)</f>
        <v>0.25316455696202533</v>
      </c>
      <c r="F77" s="147">
        <f t="shared" ref="F77:F89" si="4">SUM(F59/H59)</f>
        <v>0.39240506329113922</v>
      </c>
      <c r="G77" s="147">
        <f t="shared" ref="G77:G89" si="5">SUM(G59/H59)</f>
        <v>0.13924050632911392</v>
      </c>
      <c r="H77" s="65">
        <f t="shared" ref="H77:H89" si="6">H59</f>
        <v>79</v>
      </c>
    </row>
    <row r="78" spans="2:8">
      <c r="B78" s="148" t="str">
        <f t="shared" si="0"/>
        <v>Philippines</v>
      </c>
      <c r="C78" s="130">
        <f t="shared" si="1"/>
        <v>0.16</v>
      </c>
      <c r="D78" s="130">
        <f t="shared" si="2"/>
        <v>9.3333333333333338E-2</v>
      </c>
      <c r="E78" s="130">
        <f t="shared" si="3"/>
        <v>0.34666666666666668</v>
      </c>
      <c r="F78" s="130">
        <f t="shared" si="4"/>
        <v>0.29333333333333333</v>
      </c>
      <c r="G78" s="130">
        <f t="shared" si="5"/>
        <v>0.08</v>
      </c>
      <c r="H78" s="67">
        <f t="shared" si="6"/>
        <v>75</v>
      </c>
    </row>
    <row r="79" spans="2:8">
      <c r="B79" s="146" t="str">
        <f t="shared" si="0"/>
        <v>England</v>
      </c>
      <c r="C79" s="147">
        <f t="shared" si="1"/>
        <v>0</v>
      </c>
      <c r="D79" s="147">
        <f t="shared" si="2"/>
        <v>5.9701492537313432E-2</v>
      </c>
      <c r="E79" s="147">
        <f t="shared" si="3"/>
        <v>0.1044776119402985</v>
      </c>
      <c r="F79" s="147">
        <f t="shared" si="4"/>
        <v>0.52238805970149249</v>
      </c>
      <c r="G79" s="147">
        <f t="shared" si="5"/>
        <v>0.20895522388059701</v>
      </c>
      <c r="H79" s="68">
        <f t="shared" si="6"/>
        <v>67</v>
      </c>
    </row>
    <row r="80" spans="2:8">
      <c r="B80" s="148" t="str">
        <f t="shared" si="0"/>
        <v>India</v>
      </c>
      <c r="C80" s="130">
        <f t="shared" si="1"/>
        <v>6.9767441860465115E-2</v>
      </c>
      <c r="D80" s="130">
        <f t="shared" si="2"/>
        <v>0</v>
      </c>
      <c r="E80" s="130">
        <f t="shared" si="3"/>
        <v>0.79069767441860461</v>
      </c>
      <c r="F80" s="130">
        <f t="shared" si="4"/>
        <v>9.3023255813953487E-2</v>
      </c>
      <c r="G80" s="130">
        <f t="shared" si="5"/>
        <v>0</v>
      </c>
      <c r="H80" s="67">
        <f t="shared" si="6"/>
        <v>43</v>
      </c>
    </row>
    <row r="81" spans="2:8">
      <c r="B81" s="146" t="str">
        <f t="shared" si="0"/>
        <v>Fiji</v>
      </c>
      <c r="C81" s="147">
        <f t="shared" si="1"/>
        <v>0</v>
      </c>
      <c r="D81" s="147">
        <f t="shared" si="2"/>
        <v>0.13043478260869565</v>
      </c>
      <c r="E81" s="147">
        <f t="shared" si="3"/>
        <v>0.21739130434782608</v>
      </c>
      <c r="F81" s="147">
        <f t="shared" si="4"/>
        <v>0.34782608695652173</v>
      </c>
      <c r="G81" s="147">
        <f t="shared" si="5"/>
        <v>0</v>
      </c>
      <c r="H81" s="68">
        <f t="shared" si="6"/>
        <v>23</v>
      </c>
    </row>
    <row r="82" spans="2:8">
      <c r="B82" s="148" t="str">
        <f t="shared" si="0"/>
        <v>Germany</v>
      </c>
      <c r="C82" s="130">
        <f t="shared" si="1"/>
        <v>0</v>
      </c>
      <c r="D82" s="130">
        <f t="shared" si="2"/>
        <v>0</v>
      </c>
      <c r="E82" s="130">
        <f t="shared" si="3"/>
        <v>0.4</v>
      </c>
      <c r="F82" s="130">
        <f t="shared" si="4"/>
        <v>0.25</v>
      </c>
      <c r="G82" s="130">
        <f t="shared" si="5"/>
        <v>0.4</v>
      </c>
      <c r="H82" s="67">
        <f t="shared" si="6"/>
        <v>20</v>
      </c>
    </row>
    <row r="83" spans="2:8">
      <c r="B83" s="146" t="str">
        <f t="shared" si="0"/>
        <v>China (excludes SARs and Taiwan)</v>
      </c>
      <c r="C83" s="147">
        <f t="shared" si="1"/>
        <v>0</v>
      </c>
      <c r="D83" s="147">
        <f t="shared" si="2"/>
        <v>0.23529411764705882</v>
      </c>
      <c r="E83" s="147">
        <f t="shared" si="3"/>
        <v>0.58823529411764708</v>
      </c>
      <c r="F83" s="147">
        <f t="shared" si="4"/>
        <v>0.17647058823529413</v>
      </c>
      <c r="G83" s="147">
        <f t="shared" si="5"/>
        <v>0</v>
      </c>
      <c r="H83" s="68">
        <f t="shared" si="6"/>
        <v>17</v>
      </c>
    </row>
    <row r="84" spans="2:8">
      <c r="B84" s="148" t="str">
        <f t="shared" si="0"/>
        <v>Indonesia</v>
      </c>
      <c r="C84" s="130">
        <f t="shared" si="1"/>
        <v>0</v>
      </c>
      <c r="D84" s="130">
        <f t="shared" si="2"/>
        <v>0</v>
      </c>
      <c r="E84" s="130">
        <f t="shared" si="3"/>
        <v>0.5</v>
      </c>
      <c r="F84" s="130">
        <f t="shared" si="4"/>
        <v>0</v>
      </c>
      <c r="G84" s="130">
        <f t="shared" si="5"/>
        <v>0</v>
      </c>
      <c r="H84" s="67">
        <f t="shared" si="6"/>
        <v>14</v>
      </c>
    </row>
    <row r="85" spans="2:8">
      <c r="B85" s="146" t="str">
        <f t="shared" si="0"/>
        <v>Zimbabwe</v>
      </c>
      <c r="C85" s="147">
        <f t="shared" si="1"/>
        <v>0</v>
      </c>
      <c r="D85" s="147">
        <f t="shared" si="2"/>
        <v>0</v>
      </c>
      <c r="E85" s="147">
        <f t="shared" si="3"/>
        <v>0.35714285714285715</v>
      </c>
      <c r="F85" s="147">
        <f t="shared" si="4"/>
        <v>0.6428571428571429</v>
      </c>
      <c r="G85" s="147">
        <f t="shared" si="5"/>
        <v>0</v>
      </c>
      <c r="H85" s="68">
        <f t="shared" si="6"/>
        <v>14</v>
      </c>
    </row>
    <row r="86" spans="2:8">
      <c r="B86" s="148" t="str">
        <f t="shared" si="0"/>
        <v>France</v>
      </c>
      <c r="C86" s="130">
        <f t="shared" si="1"/>
        <v>0</v>
      </c>
      <c r="D86" s="130">
        <f t="shared" si="2"/>
        <v>0</v>
      </c>
      <c r="E86" s="130">
        <f t="shared" si="3"/>
        <v>0.38461538461538464</v>
      </c>
      <c r="F86" s="130">
        <f t="shared" si="4"/>
        <v>0</v>
      </c>
      <c r="G86" s="130">
        <f t="shared" si="5"/>
        <v>0</v>
      </c>
      <c r="H86" s="67">
        <f t="shared" si="6"/>
        <v>13</v>
      </c>
    </row>
    <row r="87" spans="2:8">
      <c r="B87" s="69" t="s">
        <v>29</v>
      </c>
      <c r="C87" s="70">
        <f t="shared" si="1"/>
        <v>0.28637168141592922</v>
      </c>
      <c r="D87" s="70">
        <f t="shared" si="2"/>
        <v>0.17663716814159292</v>
      </c>
      <c r="E87" s="70">
        <f t="shared" si="3"/>
        <v>0.28902654867256639</v>
      </c>
      <c r="F87" s="70">
        <f t="shared" si="4"/>
        <v>0.18991150442477875</v>
      </c>
      <c r="G87" s="70">
        <f t="shared" si="5"/>
        <v>5.6106194690265489E-2</v>
      </c>
      <c r="H87" s="71">
        <f t="shared" si="6"/>
        <v>5650</v>
      </c>
    </row>
    <row r="88" spans="2:8">
      <c r="B88" s="72" t="s">
        <v>30</v>
      </c>
      <c r="C88" s="73">
        <f t="shared" si="1"/>
        <v>6.2146892655367235E-2</v>
      </c>
      <c r="D88" s="73">
        <f t="shared" si="2"/>
        <v>6.2146892655367235E-2</v>
      </c>
      <c r="E88" s="73">
        <f t="shared" si="3"/>
        <v>0.21468926553672316</v>
      </c>
      <c r="F88" s="73">
        <f t="shared" si="4"/>
        <v>0.47457627118644069</v>
      </c>
      <c r="G88" s="73">
        <f t="shared" si="5"/>
        <v>0.1864406779661017</v>
      </c>
      <c r="H88" s="74">
        <f t="shared" si="6"/>
        <v>177</v>
      </c>
    </row>
    <row r="89" spans="2:8">
      <c r="B89" s="75" t="s">
        <v>31</v>
      </c>
      <c r="C89" s="76">
        <f t="shared" si="1"/>
        <v>7.3394495412844041E-2</v>
      </c>
      <c r="D89" s="76">
        <f t="shared" si="2"/>
        <v>9.480122324159021E-2</v>
      </c>
      <c r="E89" s="76">
        <f t="shared" si="3"/>
        <v>0.48623853211009177</v>
      </c>
      <c r="F89" s="76">
        <f t="shared" si="4"/>
        <v>0.25688073394495414</v>
      </c>
      <c r="G89" s="76">
        <f t="shared" si="5"/>
        <v>8.8685015290519878E-2</v>
      </c>
      <c r="H89" s="77">
        <f t="shared" si="6"/>
        <v>327</v>
      </c>
    </row>
    <row r="91" spans="2:8" s="149" customFormat="1" ht="23.25">
      <c r="B91" s="127" t="s">
        <v>656</v>
      </c>
    </row>
    <row r="92" spans="2:8" s="149" customFormat="1" ht="15.75">
      <c r="B92" s="150" t="s">
        <v>844</v>
      </c>
    </row>
    <row r="93" spans="2:8" s="149" customFormat="1">
      <c r="B93" s="149" t="s">
        <v>887</v>
      </c>
    </row>
    <row r="94" spans="2:8" s="149" customFormat="1">
      <c r="B94" s="151" t="s">
        <v>14</v>
      </c>
      <c r="C94" s="152" t="s">
        <v>32</v>
      </c>
      <c r="D94" s="152" t="s">
        <v>33</v>
      </c>
      <c r="E94" s="152" t="s">
        <v>34</v>
      </c>
      <c r="F94" s="152" t="s">
        <v>35</v>
      </c>
      <c r="G94" s="152">
        <v>2016</v>
      </c>
      <c r="H94" s="153" t="s">
        <v>28</v>
      </c>
    </row>
    <row r="95" spans="2:8" s="149" customFormat="1" ht="10.5" customHeight="1">
      <c r="B95" s="154" t="s">
        <v>73</v>
      </c>
      <c r="C95" s="155">
        <v>14</v>
      </c>
      <c r="D95" s="155">
        <v>11</v>
      </c>
      <c r="E95" s="155">
        <v>10</v>
      </c>
      <c r="F95" s="156">
        <v>33</v>
      </c>
      <c r="G95" s="155">
        <v>5</v>
      </c>
      <c r="H95" s="157">
        <v>79</v>
      </c>
    </row>
    <row r="96" spans="2:8" s="149" customFormat="1">
      <c r="B96" s="66" t="s">
        <v>76</v>
      </c>
      <c r="C96" s="158">
        <v>6</v>
      </c>
      <c r="D96" s="158">
        <v>12</v>
      </c>
      <c r="E96" s="158">
        <v>5</v>
      </c>
      <c r="F96" s="159">
        <v>37</v>
      </c>
      <c r="G96" s="158">
        <v>3</v>
      </c>
      <c r="H96" s="160">
        <v>75</v>
      </c>
    </row>
    <row r="97" spans="2:14" s="149" customFormat="1">
      <c r="B97" s="63" t="s">
        <v>92</v>
      </c>
      <c r="C97" s="155">
        <v>44</v>
      </c>
      <c r="D97" s="155">
        <v>3</v>
      </c>
      <c r="E97" s="155">
        <v>0</v>
      </c>
      <c r="F97" s="156">
        <v>13</v>
      </c>
      <c r="G97" s="155">
        <v>0</v>
      </c>
      <c r="H97" s="161">
        <v>67</v>
      </c>
    </row>
    <row r="98" spans="2:14" s="149" customFormat="1">
      <c r="B98" s="162" t="s">
        <v>75</v>
      </c>
      <c r="C98" s="158">
        <v>0</v>
      </c>
      <c r="D98" s="158">
        <v>0</v>
      </c>
      <c r="E98" s="158">
        <v>4</v>
      </c>
      <c r="F98" s="159">
        <v>30</v>
      </c>
      <c r="G98" s="158">
        <v>3</v>
      </c>
      <c r="H98" s="160">
        <v>43</v>
      </c>
    </row>
    <row r="99" spans="2:14" s="149" customFormat="1" ht="10.5" customHeight="1">
      <c r="B99" s="154" t="s">
        <v>81</v>
      </c>
      <c r="C99" s="155">
        <v>0</v>
      </c>
      <c r="D99" s="155">
        <v>0</v>
      </c>
      <c r="E99" s="155">
        <v>0</v>
      </c>
      <c r="F99" s="156">
        <v>13</v>
      </c>
      <c r="G99" s="155">
        <v>0</v>
      </c>
      <c r="H99" s="161">
        <v>23</v>
      </c>
    </row>
    <row r="100" spans="2:14" s="149" customFormat="1">
      <c r="B100" s="66" t="s">
        <v>79</v>
      </c>
      <c r="C100" s="158">
        <v>8</v>
      </c>
      <c r="D100" s="158">
        <v>3</v>
      </c>
      <c r="E100" s="158">
        <v>0</v>
      </c>
      <c r="F100" s="159">
        <v>9</v>
      </c>
      <c r="G100" s="158">
        <v>0</v>
      </c>
      <c r="H100" s="160">
        <v>20</v>
      </c>
    </row>
    <row r="101" spans="2:14" s="149" customFormat="1">
      <c r="B101" s="63" t="s">
        <v>141</v>
      </c>
      <c r="C101" s="155">
        <v>0</v>
      </c>
      <c r="D101" s="155">
        <v>5</v>
      </c>
      <c r="E101" s="155">
        <v>0</v>
      </c>
      <c r="F101" s="156">
        <v>7</v>
      </c>
      <c r="G101" s="155">
        <v>4</v>
      </c>
      <c r="H101" s="161">
        <v>17</v>
      </c>
    </row>
    <row r="102" spans="2:14" s="149" customFormat="1">
      <c r="B102" s="162" t="s">
        <v>91</v>
      </c>
      <c r="C102" s="158">
        <v>0</v>
      </c>
      <c r="D102" s="158">
        <v>0</v>
      </c>
      <c r="E102" s="158">
        <v>0</v>
      </c>
      <c r="F102" s="159">
        <v>11</v>
      </c>
      <c r="G102" s="158">
        <v>0</v>
      </c>
      <c r="H102" s="160">
        <v>14</v>
      </c>
    </row>
    <row r="103" spans="2:14" s="149" customFormat="1">
      <c r="B103" s="63" t="s">
        <v>77</v>
      </c>
      <c r="C103" s="155">
        <v>0</v>
      </c>
      <c r="D103" s="155">
        <v>0</v>
      </c>
      <c r="E103" s="155">
        <v>0</v>
      </c>
      <c r="F103" s="156">
        <v>11</v>
      </c>
      <c r="G103" s="155">
        <v>0</v>
      </c>
      <c r="H103" s="161">
        <v>14</v>
      </c>
    </row>
    <row r="104" spans="2:14" s="149" customFormat="1">
      <c r="B104" s="162" t="s">
        <v>129</v>
      </c>
      <c r="C104" s="158">
        <v>3</v>
      </c>
      <c r="D104" s="158">
        <v>0</v>
      </c>
      <c r="E104" s="158">
        <v>0</v>
      </c>
      <c r="F104" s="159">
        <v>4</v>
      </c>
      <c r="G104" s="158">
        <v>0</v>
      </c>
      <c r="H104" s="160">
        <v>13</v>
      </c>
    </row>
    <row r="105" spans="2:14" s="149" customFormat="1">
      <c r="B105" s="163" t="s">
        <v>30</v>
      </c>
      <c r="C105" s="163">
        <v>74</v>
      </c>
      <c r="D105" s="163">
        <v>22</v>
      </c>
      <c r="E105" s="163">
        <v>15</v>
      </c>
      <c r="F105" s="163">
        <v>53</v>
      </c>
      <c r="G105" s="164">
        <v>9</v>
      </c>
      <c r="H105" s="165">
        <f>C19</f>
        <v>177</v>
      </c>
    </row>
    <row r="106" spans="2:14" s="149" customFormat="1">
      <c r="B106" s="166" t="s">
        <v>31</v>
      </c>
      <c r="C106" s="166">
        <v>42</v>
      </c>
      <c r="D106" s="166">
        <v>26</v>
      </c>
      <c r="E106" s="166">
        <v>29</v>
      </c>
      <c r="F106" s="166">
        <v>171</v>
      </c>
      <c r="G106" s="167">
        <v>16</v>
      </c>
      <c r="H106" s="168">
        <f>C20</f>
        <v>327</v>
      </c>
    </row>
    <row r="107" spans="2:14" s="149" customFormat="1"/>
    <row r="108" spans="2:14" s="149" customFormat="1" ht="23.25">
      <c r="B108" s="127" t="s">
        <v>657</v>
      </c>
    </row>
    <row r="109" spans="2:14" s="149" customFormat="1" ht="15.75">
      <c r="B109" s="150" t="s">
        <v>846</v>
      </c>
    </row>
    <row r="110" spans="2:14" s="149" customFormat="1">
      <c r="B110" s="149" t="s">
        <v>845</v>
      </c>
      <c r="J110" s="169"/>
      <c r="K110" s="170"/>
      <c r="L110" s="170"/>
      <c r="M110" s="170"/>
      <c r="N110" s="170"/>
    </row>
    <row r="111" spans="2:14" s="149" customFormat="1">
      <c r="B111" s="151" t="s">
        <v>14</v>
      </c>
      <c r="C111" s="152" t="s">
        <v>32</v>
      </c>
      <c r="D111" s="152" t="s">
        <v>33</v>
      </c>
      <c r="E111" s="152" t="s">
        <v>34</v>
      </c>
      <c r="F111" s="152" t="s">
        <v>35</v>
      </c>
      <c r="G111" s="152">
        <v>2016</v>
      </c>
      <c r="H111" s="153" t="s">
        <v>28</v>
      </c>
      <c r="J111" s="169"/>
      <c r="K111" s="170"/>
      <c r="L111" s="170"/>
      <c r="M111" s="170"/>
      <c r="N111" s="170"/>
    </row>
    <row r="112" spans="2:14" s="149" customFormat="1">
      <c r="B112" s="63" t="str">
        <f t="shared" ref="B112:B121" si="7">B95</f>
        <v>New Zealand</v>
      </c>
      <c r="C112" s="64">
        <f t="shared" ref="C112:C123" si="8">IFERROR(C95/H95,"-")</f>
        <v>0.17721518987341772</v>
      </c>
      <c r="D112" s="64">
        <f t="shared" ref="D112:D123" si="9">IFERROR(D95/H95,"-")</f>
        <v>0.13924050632911392</v>
      </c>
      <c r="E112" s="64">
        <f t="shared" ref="E112:E123" si="10">IFERROR(E95/H95,"-")</f>
        <v>0.12658227848101267</v>
      </c>
      <c r="F112" s="64">
        <f t="shared" ref="F112:F123" si="11">IFERROR(F95/H95,"-")</f>
        <v>0.41772151898734178</v>
      </c>
      <c r="G112" s="64">
        <f t="shared" ref="G112:G123" si="12">IFERROR(G95/H95,"-")</f>
        <v>6.3291139240506333E-2</v>
      </c>
      <c r="H112" s="78">
        <f t="shared" ref="H112:H123" si="13">H95</f>
        <v>79</v>
      </c>
      <c r="J112" s="169"/>
      <c r="K112" s="170"/>
      <c r="L112" s="170"/>
      <c r="M112" s="170"/>
      <c r="N112" s="170"/>
    </row>
    <row r="113" spans="2:20" s="149" customFormat="1">
      <c r="B113" s="66" t="str">
        <f t="shared" si="7"/>
        <v>Philippines</v>
      </c>
      <c r="C113" s="54">
        <f t="shared" si="8"/>
        <v>0.08</v>
      </c>
      <c r="D113" s="54">
        <f t="shared" si="9"/>
        <v>0.16</v>
      </c>
      <c r="E113" s="54">
        <f t="shared" si="10"/>
        <v>6.6666666666666666E-2</v>
      </c>
      <c r="F113" s="54">
        <f t="shared" si="11"/>
        <v>0.49333333333333335</v>
      </c>
      <c r="G113" s="54">
        <f t="shared" si="12"/>
        <v>0.04</v>
      </c>
      <c r="H113" s="79">
        <f t="shared" si="13"/>
        <v>75</v>
      </c>
      <c r="J113" s="169"/>
      <c r="K113" s="170"/>
      <c r="L113" s="170"/>
      <c r="M113" s="170"/>
      <c r="N113" s="170"/>
    </row>
    <row r="114" spans="2:20" s="149" customFormat="1">
      <c r="B114" s="63" t="str">
        <f t="shared" si="7"/>
        <v>England</v>
      </c>
      <c r="C114" s="64">
        <f t="shared" si="8"/>
        <v>0.65671641791044777</v>
      </c>
      <c r="D114" s="64">
        <f t="shared" si="9"/>
        <v>4.4776119402985072E-2</v>
      </c>
      <c r="E114" s="64">
        <f t="shared" si="10"/>
        <v>0</v>
      </c>
      <c r="F114" s="64">
        <f t="shared" si="11"/>
        <v>0.19402985074626866</v>
      </c>
      <c r="G114" s="64">
        <f t="shared" si="12"/>
        <v>0</v>
      </c>
      <c r="H114" s="80">
        <f t="shared" si="13"/>
        <v>67</v>
      </c>
      <c r="J114" s="169"/>
      <c r="K114" s="170"/>
      <c r="L114" s="170"/>
      <c r="M114" s="170"/>
      <c r="N114" s="170"/>
    </row>
    <row r="115" spans="2:20" s="149" customFormat="1">
      <c r="B115" s="66" t="str">
        <f t="shared" si="7"/>
        <v>India</v>
      </c>
      <c r="C115" s="54">
        <f t="shared" si="8"/>
        <v>0</v>
      </c>
      <c r="D115" s="54">
        <f t="shared" si="9"/>
        <v>0</v>
      </c>
      <c r="E115" s="54">
        <f t="shared" si="10"/>
        <v>9.3023255813953487E-2</v>
      </c>
      <c r="F115" s="54">
        <f t="shared" si="11"/>
        <v>0.69767441860465118</v>
      </c>
      <c r="G115" s="54">
        <f t="shared" si="12"/>
        <v>6.9767441860465115E-2</v>
      </c>
      <c r="H115" s="79">
        <f t="shared" si="13"/>
        <v>43</v>
      </c>
      <c r="J115" s="169"/>
      <c r="K115" s="170"/>
      <c r="L115" s="170"/>
      <c r="M115" s="170"/>
      <c r="N115" s="170"/>
    </row>
    <row r="116" spans="2:20" s="149" customFormat="1">
      <c r="B116" s="63" t="str">
        <f t="shared" si="7"/>
        <v>Fiji</v>
      </c>
      <c r="C116" s="64">
        <f t="shared" si="8"/>
        <v>0</v>
      </c>
      <c r="D116" s="64">
        <f t="shared" si="9"/>
        <v>0</v>
      </c>
      <c r="E116" s="64">
        <f t="shared" si="10"/>
        <v>0</v>
      </c>
      <c r="F116" s="64">
        <f t="shared" si="11"/>
        <v>0.56521739130434778</v>
      </c>
      <c r="G116" s="64">
        <f t="shared" si="12"/>
        <v>0</v>
      </c>
      <c r="H116" s="80">
        <f t="shared" si="13"/>
        <v>23</v>
      </c>
      <c r="J116" s="169"/>
      <c r="K116" s="170"/>
      <c r="L116" s="170"/>
      <c r="M116" s="170"/>
      <c r="N116" s="170"/>
    </row>
    <row r="117" spans="2:20" s="149" customFormat="1">
      <c r="B117" s="66" t="str">
        <f t="shared" si="7"/>
        <v>Germany</v>
      </c>
      <c r="C117" s="54">
        <f t="shared" si="8"/>
        <v>0.4</v>
      </c>
      <c r="D117" s="54">
        <f t="shared" si="9"/>
        <v>0.15</v>
      </c>
      <c r="E117" s="54">
        <f t="shared" si="10"/>
        <v>0</v>
      </c>
      <c r="F117" s="54">
        <f t="shared" si="11"/>
        <v>0.45</v>
      </c>
      <c r="G117" s="54">
        <f t="shared" si="12"/>
        <v>0</v>
      </c>
      <c r="H117" s="79">
        <f t="shared" si="13"/>
        <v>20</v>
      </c>
      <c r="J117" s="169"/>
      <c r="K117" s="170"/>
      <c r="L117" s="170"/>
      <c r="M117" s="170"/>
      <c r="N117" s="170"/>
    </row>
    <row r="118" spans="2:20" s="149" customFormat="1">
      <c r="B118" s="63" t="str">
        <f t="shared" si="7"/>
        <v>China (excludes SARs and Taiwan)</v>
      </c>
      <c r="C118" s="64">
        <f t="shared" si="8"/>
        <v>0</v>
      </c>
      <c r="D118" s="64">
        <f t="shared" si="9"/>
        <v>0.29411764705882354</v>
      </c>
      <c r="E118" s="64">
        <f t="shared" si="10"/>
        <v>0</v>
      </c>
      <c r="F118" s="64">
        <f t="shared" si="11"/>
        <v>0.41176470588235292</v>
      </c>
      <c r="G118" s="64">
        <f t="shared" si="12"/>
        <v>0.23529411764705882</v>
      </c>
      <c r="H118" s="80">
        <f t="shared" si="13"/>
        <v>17</v>
      </c>
      <c r="O118" s="170"/>
      <c r="P118" s="170"/>
      <c r="Q118" s="170"/>
      <c r="R118" s="170"/>
      <c r="S118" s="170"/>
      <c r="T118" s="170"/>
    </row>
    <row r="119" spans="2:20" s="149" customFormat="1">
      <c r="B119" s="66" t="str">
        <f t="shared" si="7"/>
        <v>Indonesia</v>
      </c>
      <c r="C119" s="54">
        <f t="shared" si="8"/>
        <v>0</v>
      </c>
      <c r="D119" s="54">
        <f t="shared" si="9"/>
        <v>0</v>
      </c>
      <c r="E119" s="54">
        <f t="shared" si="10"/>
        <v>0</v>
      </c>
      <c r="F119" s="54">
        <f t="shared" si="11"/>
        <v>0.7857142857142857</v>
      </c>
      <c r="G119" s="54">
        <f t="shared" si="12"/>
        <v>0</v>
      </c>
      <c r="H119" s="79">
        <f t="shared" si="13"/>
        <v>14</v>
      </c>
    </row>
    <row r="120" spans="2:20" s="149" customFormat="1">
      <c r="B120" s="63" t="str">
        <f t="shared" si="7"/>
        <v>Zimbabwe</v>
      </c>
      <c r="C120" s="64">
        <f t="shared" si="8"/>
        <v>0</v>
      </c>
      <c r="D120" s="64">
        <f t="shared" si="9"/>
        <v>0</v>
      </c>
      <c r="E120" s="64">
        <f t="shared" si="10"/>
        <v>0</v>
      </c>
      <c r="F120" s="64">
        <f t="shared" si="11"/>
        <v>0.7857142857142857</v>
      </c>
      <c r="G120" s="64">
        <f t="shared" si="12"/>
        <v>0</v>
      </c>
      <c r="H120" s="80">
        <f t="shared" si="13"/>
        <v>14</v>
      </c>
    </row>
    <row r="121" spans="2:20" s="149" customFormat="1">
      <c r="B121" s="81" t="str">
        <f t="shared" si="7"/>
        <v>France</v>
      </c>
      <c r="C121" s="82">
        <f t="shared" si="8"/>
        <v>0.23076923076923078</v>
      </c>
      <c r="D121" s="82">
        <f t="shared" si="9"/>
        <v>0</v>
      </c>
      <c r="E121" s="82">
        <f t="shared" si="10"/>
        <v>0</v>
      </c>
      <c r="F121" s="82">
        <f t="shared" si="11"/>
        <v>0.30769230769230771</v>
      </c>
      <c r="G121" s="82">
        <f t="shared" si="12"/>
        <v>0</v>
      </c>
      <c r="H121" s="83">
        <f t="shared" si="13"/>
        <v>13</v>
      </c>
    </row>
    <row r="122" spans="2:20" s="149" customFormat="1">
      <c r="B122" s="72" t="s">
        <v>30</v>
      </c>
      <c r="C122" s="73">
        <f t="shared" si="8"/>
        <v>0.41807909604519772</v>
      </c>
      <c r="D122" s="73">
        <f t="shared" si="9"/>
        <v>0.12429378531073447</v>
      </c>
      <c r="E122" s="73">
        <f t="shared" si="10"/>
        <v>8.4745762711864403E-2</v>
      </c>
      <c r="F122" s="73">
        <f t="shared" si="11"/>
        <v>0.29943502824858759</v>
      </c>
      <c r="G122" s="73">
        <f t="shared" si="12"/>
        <v>5.0847457627118647E-2</v>
      </c>
      <c r="H122" s="171">
        <f t="shared" si="13"/>
        <v>177</v>
      </c>
    </row>
    <row r="123" spans="2:20" s="149" customFormat="1">
      <c r="B123" s="75" t="s">
        <v>31</v>
      </c>
      <c r="C123" s="76">
        <f t="shared" si="8"/>
        <v>0.12844036697247707</v>
      </c>
      <c r="D123" s="76">
        <f t="shared" si="9"/>
        <v>7.9510703363914373E-2</v>
      </c>
      <c r="E123" s="76">
        <f t="shared" si="10"/>
        <v>8.8685015290519878E-2</v>
      </c>
      <c r="F123" s="76">
        <f t="shared" si="11"/>
        <v>0.52293577981651373</v>
      </c>
      <c r="G123" s="76">
        <f t="shared" si="12"/>
        <v>4.8929663608562692E-2</v>
      </c>
      <c r="H123" s="172">
        <f t="shared" si="13"/>
        <v>327</v>
      </c>
    </row>
    <row r="125" spans="2:20" ht="23.25">
      <c r="B125" s="127" t="s">
        <v>658</v>
      </c>
    </row>
    <row r="126" spans="2:20" ht="15.75">
      <c r="B126" s="150" t="s">
        <v>330</v>
      </c>
    </row>
    <row r="127" spans="2:20" ht="25.5">
      <c r="B127" s="173" t="s">
        <v>36</v>
      </c>
      <c r="C127" s="173" t="s">
        <v>37</v>
      </c>
      <c r="D127" s="173" t="s">
        <v>38</v>
      </c>
      <c r="E127" s="173" t="s">
        <v>6</v>
      </c>
      <c r="F127" s="173" t="s">
        <v>39</v>
      </c>
      <c r="G127" s="173" t="s">
        <v>7</v>
      </c>
      <c r="H127" s="173" t="s">
        <v>40</v>
      </c>
    </row>
    <row r="128" spans="2:20">
      <c r="B128" s="269" t="s">
        <v>95</v>
      </c>
      <c r="C128" s="269">
        <v>1473</v>
      </c>
      <c r="D128" s="269">
        <v>1518</v>
      </c>
      <c r="E128" s="269">
        <v>2990</v>
      </c>
      <c r="F128" s="245">
        <f>SUM(Table79222684[[#This Row],[Persons]]/$C$23)</f>
        <v>0.90496368038740915</v>
      </c>
      <c r="G128" s="269">
        <v>2772</v>
      </c>
      <c r="H128" s="64">
        <f>IFERROR((Table79222684[[#This Row],[Persons]]-Table79222684[[#This Row],[2011 Census]])/Table79222684[[#This Row],[2011 Census]],"..")</f>
        <v>7.864357864357864E-2</v>
      </c>
    </row>
    <row r="129" spans="2:9">
      <c r="B129" s="272" t="s">
        <v>47</v>
      </c>
      <c r="C129" s="272">
        <v>8</v>
      </c>
      <c r="D129" s="272">
        <v>19</v>
      </c>
      <c r="E129" s="272">
        <v>33</v>
      </c>
      <c r="F129" s="246">
        <f>SUM(Table79222684[[#This Row],[Persons]]/$C$23)</f>
        <v>9.9878934624697338E-3</v>
      </c>
      <c r="G129" s="272"/>
      <c r="H129" s="54" t="str">
        <f>IFERROR((Table79222684[[#This Row],[Persons]]-Table79222684[[#This Row],[2011 Census]])/Table79222684[[#This Row],[2011 Census]],"..")</f>
        <v>..</v>
      </c>
    </row>
    <row r="130" spans="2:9">
      <c r="B130" s="269" t="s">
        <v>54</v>
      </c>
      <c r="C130" s="269">
        <v>7</v>
      </c>
      <c r="D130" s="269">
        <v>24</v>
      </c>
      <c r="E130" s="269">
        <v>31</v>
      </c>
      <c r="F130" s="245">
        <f>SUM(Table79222684[[#This Row],[Persons]]/$C$23)</f>
        <v>9.3825665859564172E-3</v>
      </c>
      <c r="G130" s="269">
        <v>17</v>
      </c>
      <c r="H130" s="64">
        <f>IFERROR((Table79222684[[#This Row],[Persons]]-Table79222684[[#This Row],[2011 Census]])/Table79222684[[#This Row],[2011 Census]],"..")</f>
        <v>0.82352941176470584</v>
      </c>
    </row>
    <row r="131" spans="2:9">
      <c r="B131" s="272" t="s">
        <v>112</v>
      </c>
      <c r="C131" s="272">
        <v>17</v>
      </c>
      <c r="D131" s="272">
        <v>10</v>
      </c>
      <c r="E131" s="272">
        <v>23</v>
      </c>
      <c r="F131" s="246">
        <f>SUM(Table79222684[[#This Row],[Persons]]/$C$23)</f>
        <v>6.9612590799031475E-3</v>
      </c>
      <c r="G131" s="272">
        <v>16</v>
      </c>
      <c r="H131" s="54">
        <f>IFERROR((Table79222684[[#This Row],[Persons]]-Table79222684[[#This Row],[2011 Census]])/Table79222684[[#This Row],[2011 Census]],"..")</f>
        <v>0.4375</v>
      </c>
    </row>
    <row r="132" spans="2:9">
      <c r="B132" s="269" t="s">
        <v>53</v>
      </c>
      <c r="C132" s="269">
        <v>11</v>
      </c>
      <c r="D132" s="269">
        <v>15</v>
      </c>
      <c r="E132" s="269">
        <v>23</v>
      </c>
      <c r="F132" s="245">
        <f>SUM(Table79222684[[#This Row],[Persons]]/$C$23)</f>
        <v>6.9612590799031475E-3</v>
      </c>
      <c r="G132" s="269"/>
      <c r="H132" s="64" t="str">
        <f>IFERROR((Table79222684[[#This Row],[Persons]]-Table79222684[[#This Row],[2011 Census]])/Table79222684[[#This Row],[2011 Census]],"..")</f>
        <v>..</v>
      </c>
    </row>
    <row r="133" spans="2:9">
      <c r="B133" s="272" t="s">
        <v>52</v>
      </c>
      <c r="C133" s="272">
        <v>3</v>
      </c>
      <c r="D133" s="272">
        <v>14</v>
      </c>
      <c r="E133" s="272">
        <v>21</v>
      </c>
      <c r="F133" s="246">
        <f>SUM(Table79222684[[#This Row],[Persons]]/$C$23)</f>
        <v>6.3559322033898309E-3</v>
      </c>
      <c r="G133" s="272">
        <v>29</v>
      </c>
      <c r="H133" s="54">
        <f>IFERROR((Table79222684[[#This Row],[Persons]]-Table79222684[[#This Row],[2011 Census]])/Table79222684[[#This Row],[2011 Census]],"..")</f>
        <v>-0.27586206896551724</v>
      </c>
    </row>
    <row r="134" spans="2:9">
      <c r="B134" s="269" t="s">
        <v>97</v>
      </c>
      <c r="C134" s="269">
        <v>10</v>
      </c>
      <c r="D134" s="269">
        <v>5</v>
      </c>
      <c r="E134" s="269">
        <v>16</v>
      </c>
      <c r="F134" s="245">
        <f>SUM(Table79222684[[#This Row],[Persons]]/$C$23)</f>
        <v>4.8426150121065378E-3</v>
      </c>
      <c r="G134" s="269"/>
      <c r="H134" s="64" t="str">
        <f>IFERROR((Table79222684[[#This Row],[Persons]]-Table79222684[[#This Row],[2011 Census]])/Table79222684[[#This Row],[2011 Census]],"..")</f>
        <v>..</v>
      </c>
    </row>
    <row r="135" spans="2:9">
      <c r="B135" s="272" t="s">
        <v>113</v>
      </c>
      <c r="C135" s="272">
        <v>8</v>
      </c>
      <c r="D135" s="272">
        <v>3</v>
      </c>
      <c r="E135" s="272">
        <v>14</v>
      </c>
      <c r="F135" s="246">
        <f>SUM(Table79222684[[#This Row],[Persons]]/$C$23)</f>
        <v>4.2372881355932203E-3</v>
      </c>
      <c r="G135" s="272"/>
      <c r="H135" s="54" t="str">
        <f>IFERROR((Table79222684[[#This Row],[Persons]]-Table79222684[[#This Row],[2011 Census]])/Table79222684[[#This Row],[2011 Census]],"..")</f>
        <v>..</v>
      </c>
    </row>
    <row r="136" spans="2:9">
      <c r="B136" s="269" t="s">
        <v>189</v>
      </c>
      <c r="C136" s="269">
        <v>3</v>
      </c>
      <c r="D136" s="269">
        <v>3</v>
      </c>
      <c r="E136" s="269">
        <v>12</v>
      </c>
      <c r="F136" s="245">
        <f>SUM(Table79222684[[#This Row],[Persons]]/$C$23)</f>
        <v>3.6319612590799033E-3</v>
      </c>
      <c r="G136" s="269"/>
      <c r="H136" s="64" t="str">
        <f>IFERROR((Table79222684[[#This Row],[Persons]]-Table79222684[[#This Row],[2011 Census]])/Table79222684[[#This Row],[2011 Census]],"..")</f>
        <v>..</v>
      </c>
    </row>
    <row r="137" spans="2:9">
      <c r="B137" s="272" t="s">
        <v>148</v>
      </c>
      <c r="C137" s="272">
        <v>4</v>
      </c>
      <c r="D137" s="272">
        <v>6</v>
      </c>
      <c r="E137" s="272">
        <v>11</v>
      </c>
      <c r="F137" s="246">
        <f>SUM(Table79222684[[#This Row],[Persons]]/$C$23)</f>
        <v>3.3292978208232446E-3</v>
      </c>
      <c r="G137" s="272"/>
      <c r="H137" s="54" t="str">
        <f>IFERROR((Table79222684[[#This Row],[Persons]]-Table79222684[[#This Row],[2011 Census]])/Table79222684[[#This Row],[2011 Census]],"..")</f>
        <v>..</v>
      </c>
    </row>
    <row r="138" spans="2:9">
      <c r="B138" s="269" t="s">
        <v>127</v>
      </c>
      <c r="C138" s="269">
        <f>Table79222684[[#Totals],[Males]]-SUM(C128:C137)</f>
        <v>82</v>
      </c>
      <c r="D138" s="269">
        <f>Table79222684[[#Totals],[Females]]-SUM(D128:D137)</f>
        <v>67</v>
      </c>
      <c r="E138" s="269">
        <f>Table79222684[[#Totals],[Persons]]-SUM(E128:E137)</f>
        <v>130</v>
      </c>
      <c r="F138" s="245">
        <f>SUM(Table79222684[[#This Row],[Persons]]/$C$23)</f>
        <v>3.9346246973365619E-2</v>
      </c>
      <c r="G138" s="269"/>
      <c r="H138" s="64" t="str">
        <f>IFERROR((Table79222684[[#This Row],[Persons]]-Table79222684[[#This Row],[2011 Census]])/Table79222684[[#This Row],[2011 Census]],"..")</f>
        <v>..</v>
      </c>
    </row>
    <row r="139" spans="2:9">
      <c r="B139" s="284" t="s">
        <v>872</v>
      </c>
      <c r="C139" s="175" t="s">
        <v>197</v>
      </c>
      <c r="D139" s="175" t="s">
        <v>198</v>
      </c>
      <c r="E139" s="176">
        <f>C23</f>
        <v>3304</v>
      </c>
      <c r="F139" s="177" t="s">
        <v>22</v>
      </c>
      <c r="G139" s="178">
        <f>E23</f>
        <v>2937</v>
      </c>
      <c r="H139" s="179">
        <f>(Table79222684[[#Totals],[Persons]]-Table79222684[[#Totals],[2011 Census]])/Table79222684[[#Totals],[2011 Census]]</f>
        <v>0.12495743956418114</v>
      </c>
    </row>
    <row r="140" spans="2:9">
      <c r="B140" s="389" t="s">
        <v>873</v>
      </c>
      <c r="C140" s="180"/>
      <c r="D140" s="180"/>
      <c r="E140" s="180"/>
      <c r="F140" s="181"/>
      <c r="G140" s="180"/>
      <c r="H140" s="180"/>
      <c r="I140" s="182"/>
    </row>
    <row r="141" spans="2:9">
      <c r="B141" s="183"/>
      <c r="C141" s="183"/>
      <c r="D141" s="183"/>
      <c r="E141" s="183"/>
      <c r="F141" s="174"/>
      <c r="G141" s="184"/>
      <c r="H141" s="183"/>
      <c r="I141" s="183"/>
    </row>
    <row r="142" spans="2:9" ht="23.25">
      <c r="B142" s="127" t="s">
        <v>659</v>
      </c>
    </row>
    <row r="143" spans="2:9" ht="15.75">
      <c r="B143" s="150" t="s">
        <v>825</v>
      </c>
    </row>
    <row r="144" spans="2:9">
      <c r="B144" s="140" t="s">
        <v>36</v>
      </c>
      <c r="C144" s="145" t="s">
        <v>42</v>
      </c>
      <c r="D144" s="145" t="s">
        <v>43</v>
      </c>
      <c r="E144" s="145" t="s">
        <v>44</v>
      </c>
      <c r="F144" s="145" t="s">
        <v>45</v>
      </c>
      <c r="G144" s="145" t="s">
        <v>46</v>
      </c>
      <c r="H144" s="145" t="s">
        <v>28</v>
      </c>
    </row>
    <row r="145" spans="2:8">
      <c r="B145" s="185" t="s">
        <v>128</v>
      </c>
      <c r="C145" s="186"/>
      <c r="D145" s="186"/>
      <c r="E145" s="186"/>
      <c r="F145" s="186"/>
      <c r="G145" s="186"/>
      <c r="H145" s="187"/>
    </row>
    <row r="146" spans="2:8">
      <c r="B146" s="188" t="s">
        <v>48</v>
      </c>
      <c r="C146" s="189">
        <v>744</v>
      </c>
      <c r="D146" s="189">
        <v>531</v>
      </c>
      <c r="E146" s="189">
        <v>775</v>
      </c>
      <c r="F146" s="189">
        <v>451</v>
      </c>
      <c r="G146" s="189">
        <v>126</v>
      </c>
      <c r="H146" s="190">
        <v>2625</v>
      </c>
    </row>
    <row r="147" spans="2:8">
      <c r="B147" s="191" t="s">
        <v>49</v>
      </c>
      <c r="C147" s="192">
        <v>135</v>
      </c>
      <c r="D147" s="192">
        <v>30</v>
      </c>
      <c r="E147" s="192">
        <v>50</v>
      </c>
      <c r="F147" s="192">
        <v>60</v>
      </c>
      <c r="G147" s="192">
        <v>33</v>
      </c>
      <c r="H147" s="193">
        <v>310</v>
      </c>
    </row>
    <row r="148" spans="2:8">
      <c r="B148" s="188" t="s">
        <v>50</v>
      </c>
      <c r="C148" s="189">
        <v>902</v>
      </c>
      <c r="D148" s="189">
        <v>567</v>
      </c>
      <c r="E148" s="189">
        <v>843</v>
      </c>
      <c r="F148" s="189">
        <v>518</v>
      </c>
      <c r="G148" s="189">
        <v>163</v>
      </c>
      <c r="H148" s="190">
        <v>2990</v>
      </c>
    </row>
    <row r="149" spans="2:8">
      <c r="B149" s="194" t="s">
        <v>51</v>
      </c>
      <c r="C149" s="96">
        <f>SUM(C147/$H$148)</f>
        <v>4.51505016722408E-2</v>
      </c>
      <c r="D149" s="96">
        <f t="shared" ref="D149:H149" si="14">SUM(D147/$H$148)</f>
        <v>1.0033444816053512E-2</v>
      </c>
      <c r="E149" s="96">
        <f t="shared" si="14"/>
        <v>1.6722408026755852E-2</v>
      </c>
      <c r="F149" s="96">
        <f t="shared" si="14"/>
        <v>2.0066889632107024E-2</v>
      </c>
      <c r="G149" s="96">
        <f t="shared" si="14"/>
        <v>1.1036789297658863E-2</v>
      </c>
      <c r="H149" s="97">
        <f t="shared" si="14"/>
        <v>0.10367892976588629</v>
      </c>
    </row>
    <row r="150" spans="2:8">
      <c r="B150" s="195" t="s">
        <v>47</v>
      </c>
      <c r="C150" s="196"/>
      <c r="D150" s="196"/>
      <c r="E150" s="196"/>
      <c r="F150" s="196"/>
      <c r="G150" s="196"/>
      <c r="H150" s="197"/>
    </row>
    <row r="151" spans="2:8">
      <c r="B151" s="191" t="s">
        <v>48</v>
      </c>
      <c r="C151" s="198">
        <v>5</v>
      </c>
      <c r="D151" s="198">
        <v>0</v>
      </c>
      <c r="E151" s="198">
        <v>19</v>
      </c>
      <c r="F151" s="198">
        <v>6</v>
      </c>
      <c r="G151" s="198">
        <v>0</v>
      </c>
      <c r="H151" s="199">
        <v>28</v>
      </c>
    </row>
    <row r="152" spans="2:8">
      <c r="B152" s="188" t="s">
        <v>49</v>
      </c>
      <c r="C152" s="200">
        <v>0</v>
      </c>
      <c r="D152" s="200">
        <v>0</v>
      </c>
      <c r="E152" s="200">
        <v>0</v>
      </c>
      <c r="F152" s="200">
        <v>0</v>
      </c>
      <c r="G152" s="200">
        <v>0</v>
      </c>
      <c r="H152" s="201">
        <v>0</v>
      </c>
    </row>
    <row r="153" spans="2:8">
      <c r="B153" s="191" t="s">
        <v>50</v>
      </c>
      <c r="C153" s="198">
        <v>6</v>
      </c>
      <c r="D153" s="198">
        <v>0</v>
      </c>
      <c r="E153" s="198">
        <v>19</v>
      </c>
      <c r="F153" s="198">
        <v>6</v>
      </c>
      <c r="G153" s="198">
        <v>0</v>
      </c>
      <c r="H153" s="199">
        <v>33</v>
      </c>
    </row>
    <row r="154" spans="2:8">
      <c r="B154" s="202" t="s">
        <v>51</v>
      </c>
      <c r="C154" s="101">
        <f>SUM(C152/$H$153)</f>
        <v>0</v>
      </c>
      <c r="D154" s="101">
        <f t="shared" ref="D154:G154" si="15">SUM(D152/$H$153)</f>
        <v>0</v>
      </c>
      <c r="E154" s="101">
        <f t="shared" si="15"/>
        <v>0</v>
      </c>
      <c r="F154" s="101">
        <f t="shared" si="15"/>
        <v>0</v>
      </c>
      <c r="G154" s="101">
        <f t="shared" si="15"/>
        <v>0</v>
      </c>
      <c r="H154" s="99">
        <f>SUM(H152/$H$153)</f>
        <v>0</v>
      </c>
    </row>
    <row r="155" spans="2:8">
      <c r="B155" s="185" t="s">
        <v>53</v>
      </c>
      <c r="C155" s="186"/>
      <c r="D155" s="186"/>
      <c r="E155" s="186"/>
      <c r="F155" s="186"/>
      <c r="G155" s="186"/>
      <c r="H155" s="203"/>
    </row>
    <row r="156" spans="2:8">
      <c r="B156" s="188" t="s">
        <v>48</v>
      </c>
      <c r="C156" s="200">
        <v>0</v>
      </c>
      <c r="D156" s="200">
        <v>6</v>
      </c>
      <c r="E156" s="200">
        <v>8</v>
      </c>
      <c r="F156" s="204">
        <v>3</v>
      </c>
      <c r="G156" s="205">
        <v>0</v>
      </c>
      <c r="H156" s="201">
        <v>11</v>
      </c>
    </row>
    <row r="157" spans="2:8">
      <c r="B157" s="191" t="s">
        <v>49</v>
      </c>
      <c r="C157" s="198">
        <v>0</v>
      </c>
      <c r="D157" s="198">
        <v>0</v>
      </c>
      <c r="E157" s="198">
        <v>6</v>
      </c>
      <c r="F157" s="206">
        <v>6</v>
      </c>
      <c r="G157" s="198">
        <v>0</v>
      </c>
      <c r="H157" s="199">
        <v>7</v>
      </c>
    </row>
    <row r="158" spans="2:8">
      <c r="B158" s="188" t="s">
        <v>50</v>
      </c>
      <c r="C158" s="200">
        <v>0</v>
      </c>
      <c r="D158" s="200">
        <v>3</v>
      </c>
      <c r="E158" s="200">
        <v>12</v>
      </c>
      <c r="F158" s="200">
        <v>3</v>
      </c>
      <c r="G158" s="200">
        <v>0</v>
      </c>
      <c r="H158" s="201">
        <v>23</v>
      </c>
    </row>
    <row r="159" spans="2:8">
      <c r="B159" s="194" t="s">
        <v>51</v>
      </c>
      <c r="C159" s="96">
        <f>SUM(C157/$H$158)</f>
        <v>0</v>
      </c>
      <c r="D159" s="96">
        <f t="shared" ref="D159:H159" si="16">SUM(D157/$H$158)</f>
        <v>0</v>
      </c>
      <c r="E159" s="96">
        <f t="shared" si="16"/>
        <v>0.2608695652173913</v>
      </c>
      <c r="F159" s="96">
        <f t="shared" si="16"/>
        <v>0.2608695652173913</v>
      </c>
      <c r="G159" s="96">
        <f t="shared" si="16"/>
        <v>0</v>
      </c>
      <c r="H159" s="97">
        <f t="shared" si="16"/>
        <v>0.30434782608695654</v>
      </c>
    </row>
    <row r="160" spans="2:8">
      <c r="B160" s="195" t="s">
        <v>112</v>
      </c>
      <c r="C160" s="196"/>
      <c r="D160" s="196"/>
      <c r="E160" s="196"/>
      <c r="F160" s="196"/>
      <c r="G160" s="196"/>
      <c r="H160" s="197"/>
    </row>
    <row r="161" spans="2:12">
      <c r="B161" s="191" t="s">
        <v>48</v>
      </c>
      <c r="C161" s="198">
        <v>5</v>
      </c>
      <c r="D161" s="198">
        <v>0</v>
      </c>
      <c r="E161" s="198">
        <v>11</v>
      </c>
      <c r="F161" s="198">
        <v>9</v>
      </c>
      <c r="G161" s="198">
        <v>4</v>
      </c>
      <c r="H161" s="199">
        <v>23</v>
      </c>
    </row>
    <row r="162" spans="2:12">
      <c r="B162" s="188" t="s">
        <v>49</v>
      </c>
      <c r="C162" s="200">
        <v>0</v>
      </c>
      <c r="D162" s="200">
        <v>0</v>
      </c>
      <c r="E162" s="200">
        <v>0</v>
      </c>
      <c r="F162" s="200">
        <v>0</v>
      </c>
      <c r="G162" s="200">
        <v>0</v>
      </c>
      <c r="H162" s="201">
        <v>0</v>
      </c>
    </row>
    <row r="163" spans="2:12">
      <c r="B163" s="191" t="s">
        <v>50</v>
      </c>
      <c r="C163" s="198">
        <v>5</v>
      </c>
      <c r="D163" s="198">
        <v>0</v>
      </c>
      <c r="E163" s="198">
        <v>11</v>
      </c>
      <c r="F163" s="198">
        <v>9</v>
      </c>
      <c r="G163" s="198">
        <v>4</v>
      </c>
      <c r="H163" s="199">
        <v>23</v>
      </c>
    </row>
    <row r="164" spans="2:12">
      <c r="B164" s="202" t="s">
        <v>51</v>
      </c>
      <c r="C164" s="98">
        <f>SUM(C162/$H$163)</f>
        <v>0</v>
      </c>
      <c r="D164" s="98">
        <f t="shared" ref="D164:G164" si="17">SUM(D162/$H$163)</f>
        <v>0</v>
      </c>
      <c r="E164" s="98">
        <f t="shared" si="17"/>
        <v>0</v>
      </c>
      <c r="F164" s="98">
        <f t="shared" si="17"/>
        <v>0</v>
      </c>
      <c r="G164" s="98">
        <f t="shared" si="17"/>
        <v>0</v>
      </c>
      <c r="H164" s="100">
        <f>SUM(H162/$H$163)</f>
        <v>0</v>
      </c>
    </row>
    <row r="165" spans="2:12">
      <c r="B165" s="185" t="s">
        <v>97</v>
      </c>
      <c r="C165" s="186"/>
      <c r="D165" s="186"/>
      <c r="E165" s="186"/>
      <c r="F165" s="186"/>
      <c r="G165" s="186"/>
      <c r="H165" s="187"/>
    </row>
    <row r="166" spans="2:12">
      <c r="B166" s="188" t="s">
        <v>48</v>
      </c>
      <c r="C166" s="200">
        <v>0</v>
      </c>
      <c r="D166" s="200">
        <v>3</v>
      </c>
      <c r="E166" s="200">
        <v>6</v>
      </c>
      <c r="F166" s="200">
        <v>3</v>
      </c>
      <c r="G166" s="200">
        <v>0</v>
      </c>
      <c r="H166" s="201">
        <v>16</v>
      </c>
    </row>
    <row r="167" spans="2:12">
      <c r="B167" s="191" t="s">
        <v>49</v>
      </c>
      <c r="C167" s="198">
        <v>0</v>
      </c>
      <c r="D167" s="198">
        <v>0</v>
      </c>
      <c r="E167" s="198">
        <v>0</v>
      </c>
      <c r="F167" s="198">
        <v>0</v>
      </c>
      <c r="G167" s="198">
        <v>0</v>
      </c>
      <c r="H167" s="199">
        <v>0</v>
      </c>
    </row>
    <row r="168" spans="2:12">
      <c r="B168" s="188" t="s">
        <v>50</v>
      </c>
      <c r="C168" s="200">
        <v>0</v>
      </c>
      <c r="D168" s="200">
        <v>3</v>
      </c>
      <c r="E168" s="200">
        <v>6</v>
      </c>
      <c r="F168" s="200">
        <v>3</v>
      </c>
      <c r="G168" s="200">
        <v>0</v>
      </c>
      <c r="H168" s="201">
        <v>16</v>
      </c>
      <c r="J168" s="134"/>
      <c r="K168" s="134"/>
      <c r="L168" s="134"/>
    </row>
    <row r="169" spans="2:12" s="129" customFormat="1">
      <c r="B169" s="194" t="s">
        <v>51</v>
      </c>
      <c r="C169" s="96">
        <f>SUM(C167/$H$168)</f>
        <v>0</v>
      </c>
      <c r="D169" s="96">
        <f t="shared" ref="D169:H169" si="18">SUM(D167/$H$168)</f>
        <v>0</v>
      </c>
      <c r="E169" s="96">
        <f t="shared" si="18"/>
        <v>0</v>
      </c>
      <c r="F169" s="96">
        <f t="shared" si="18"/>
        <v>0</v>
      </c>
      <c r="G169" s="96">
        <f t="shared" si="18"/>
        <v>0</v>
      </c>
      <c r="H169" s="97">
        <f t="shared" si="18"/>
        <v>0</v>
      </c>
      <c r="I169" s="118"/>
    </row>
    <row r="170" spans="2:12" ht="15.95" customHeight="1">
      <c r="B170" s="195" t="s">
        <v>114</v>
      </c>
      <c r="C170" s="196"/>
      <c r="D170" s="196"/>
      <c r="E170" s="196"/>
      <c r="F170" s="196"/>
      <c r="G170" s="196"/>
      <c r="H170" s="197"/>
    </row>
    <row r="171" spans="2:12">
      <c r="B171" s="191" t="s">
        <v>48</v>
      </c>
      <c r="C171" s="207">
        <v>763</v>
      </c>
      <c r="D171" s="207">
        <v>547</v>
      </c>
      <c r="E171" s="207">
        <v>885</v>
      </c>
      <c r="F171" s="207">
        <v>505</v>
      </c>
      <c r="G171" s="207">
        <v>142</v>
      </c>
      <c r="H171" s="208">
        <v>2837</v>
      </c>
    </row>
    <row r="172" spans="2:12">
      <c r="B172" s="188" t="s">
        <v>49</v>
      </c>
      <c r="C172" s="209">
        <v>137</v>
      </c>
      <c r="D172" s="209">
        <v>31</v>
      </c>
      <c r="E172" s="209">
        <v>58</v>
      </c>
      <c r="F172" s="209">
        <v>66</v>
      </c>
      <c r="G172" s="209">
        <v>33</v>
      </c>
      <c r="H172" s="210">
        <v>330</v>
      </c>
    </row>
    <row r="173" spans="2:12">
      <c r="B173" s="191" t="s">
        <v>50</v>
      </c>
      <c r="C173" s="207">
        <v>931</v>
      </c>
      <c r="D173" s="207">
        <v>587</v>
      </c>
      <c r="E173" s="207">
        <v>956</v>
      </c>
      <c r="F173" s="207">
        <v>573</v>
      </c>
      <c r="G173" s="207">
        <v>176</v>
      </c>
      <c r="H173" s="208">
        <v>3232</v>
      </c>
    </row>
    <row r="174" spans="2:12">
      <c r="B174" s="202" t="s">
        <v>51</v>
      </c>
      <c r="C174" s="101">
        <f>IFERROR(C172/$H$173,"-")</f>
        <v>4.2388613861386142E-2</v>
      </c>
      <c r="D174" s="101">
        <f t="shared" ref="D174:H174" si="19">IFERROR(D172/$H$173,"-")</f>
        <v>9.5915841584158414E-3</v>
      </c>
      <c r="E174" s="101">
        <f t="shared" si="19"/>
        <v>1.7945544554455444E-2</v>
      </c>
      <c r="F174" s="101">
        <f t="shared" si="19"/>
        <v>2.0420792079207922E-2</v>
      </c>
      <c r="G174" s="101">
        <f t="shared" si="19"/>
        <v>1.0210396039603961E-2</v>
      </c>
      <c r="H174" s="99">
        <f t="shared" si="19"/>
        <v>0.1021039603960396</v>
      </c>
    </row>
    <row r="176" spans="2:12" ht="23.25">
      <c r="B176" s="127" t="s">
        <v>660</v>
      </c>
    </row>
    <row r="177" spans="2:10" ht="15.75">
      <c r="B177" s="150" t="s">
        <v>826</v>
      </c>
      <c r="J177" s="134"/>
    </row>
    <row r="178" spans="2:10" ht="25.5">
      <c r="B178" s="323"/>
      <c r="C178" s="1233" t="s">
        <v>125</v>
      </c>
      <c r="D178" s="1234"/>
      <c r="E178" s="1234"/>
      <c r="F178" s="1235"/>
      <c r="G178" s="211" t="s">
        <v>10</v>
      </c>
      <c r="H178" s="212" t="s">
        <v>847</v>
      </c>
      <c r="I178" s="213" t="s">
        <v>70</v>
      </c>
    </row>
    <row r="179" spans="2:10" ht="63.75">
      <c r="B179" s="577" t="s">
        <v>879</v>
      </c>
      <c r="C179" s="324" t="s">
        <v>61</v>
      </c>
      <c r="D179" s="324" t="s">
        <v>60</v>
      </c>
      <c r="E179" s="324" t="s">
        <v>59</v>
      </c>
      <c r="F179" s="325" t="s">
        <v>848</v>
      </c>
      <c r="G179" s="324" t="s">
        <v>122</v>
      </c>
      <c r="H179" s="324" t="s">
        <v>885</v>
      </c>
      <c r="I179" s="326" t="s">
        <v>640</v>
      </c>
    </row>
    <row r="180" spans="2:10">
      <c r="B180" s="216" t="s">
        <v>118</v>
      </c>
      <c r="C180" s="217">
        <v>3554</v>
      </c>
      <c r="D180" s="217">
        <v>5</v>
      </c>
      <c r="E180" s="217">
        <v>6</v>
      </c>
      <c r="F180" s="217">
        <v>31</v>
      </c>
      <c r="G180" s="217">
        <v>3</v>
      </c>
      <c r="H180" s="217">
        <v>28</v>
      </c>
      <c r="I180" s="218">
        <v>3617</v>
      </c>
    </row>
    <row r="181" spans="2:10">
      <c r="B181" s="216" t="s">
        <v>116</v>
      </c>
      <c r="C181" s="217">
        <v>1086</v>
      </c>
      <c r="D181" s="217">
        <v>3</v>
      </c>
      <c r="E181" s="217">
        <v>102</v>
      </c>
      <c r="F181" s="217">
        <v>32</v>
      </c>
      <c r="G181" s="217">
        <v>16</v>
      </c>
      <c r="H181" s="217">
        <v>54</v>
      </c>
      <c r="I181" s="218">
        <v>1295</v>
      </c>
    </row>
    <row r="182" spans="2:10">
      <c r="B182" s="216" t="s">
        <v>115</v>
      </c>
      <c r="C182" s="217">
        <v>570</v>
      </c>
      <c r="D182" s="217">
        <v>30</v>
      </c>
      <c r="E182" s="217">
        <v>78</v>
      </c>
      <c r="F182" s="217">
        <v>11</v>
      </c>
      <c r="G182" s="217">
        <v>115</v>
      </c>
      <c r="H182" s="217">
        <v>43</v>
      </c>
      <c r="I182" s="218">
        <v>854</v>
      </c>
    </row>
    <row r="183" spans="2:10">
      <c r="B183" s="216" t="s">
        <v>117</v>
      </c>
      <c r="C183" s="217">
        <v>195</v>
      </c>
      <c r="D183" s="217">
        <v>9</v>
      </c>
      <c r="E183" s="217">
        <v>18</v>
      </c>
      <c r="F183" s="217">
        <v>7</v>
      </c>
      <c r="G183" s="217">
        <v>19</v>
      </c>
      <c r="H183" s="217">
        <v>20</v>
      </c>
      <c r="I183" s="218">
        <v>261</v>
      </c>
    </row>
    <row r="184" spans="2:10">
      <c r="B184" s="216" t="s">
        <v>119</v>
      </c>
      <c r="C184" s="217">
        <v>134</v>
      </c>
      <c r="D184" s="217">
        <v>0</v>
      </c>
      <c r="E184" s="217">
        <v>31</v>
      </c>
      <c r="F184" s="217">
        <v>4</v>
      </c>
      <c r="G184" s="217">
        <v>47</v>
      </c>
      <c r="H184" s="217">
        <v>4</v>
      </c>
      <c r="I184" s="218">
        <v>219</v>
      </c>
    </row>
    <row r="185" spans="2:10">
      <c r="B185" s="216" t="s">
        <v>97</v>
      </c>
      <c r="C185" s="217">
        <v>72</v>
      </c>
      <c r="D185" s="217">
        <v>3</v>
      </c>
      <c r="E185" s="217">
        <v>14</v>
      </c>
      <c r="F185" s="217">
        <v>0</v>
      </c>
      <c r="G185" s="217">
        <v>25</v>
      </c>
      <c r="H185" s="217">
        <v>6</v>
      </c>
      <c r="I185" s="218">
        <v>121</v>
      </c>
    </row>
    <row r="186" spans="2:10">
      <c r="B186" s="216" t="s">
        <v>98</v>
      </c>
      <c r="C186" s="217">
        <v>18</v>
      </c>
      <c r="D186" s="217">
        <v>0</v>
      </c>
      <c r="E186" s="217">
        <v>6</v>
      </c>
      <c r="F186" s="217">
        <v>0</v>
      </c>
      <c r="G186" s="217">
        <v>10</v>
      </c>
      <c r="H186" s="217">
        <v>0</v>
      </c>
      <c r="I186" s="218">
        <v>33</v>
      </c>
    </row>
    <row r="187" spans="2:10">
      <c r="B187" s="216" t="s">
        <v>111</v>
      </c>
      <c r="C187" s="217">
        <v>6</v>
      </c>
      <c r="D187" s="217">
        <v>8</v>
      </c>
      <c r="E187" s="217">
        <v>7</v>
      </c>
      <c r="F187" s="217">
        <v>0</v>
      </c>
      <c r="G187" s="217">
        <v>9</v>
      </c>
      <c r="H187" s="217">
        <v>0</v>
      </c>
      <c r="I187" s="218">
        <v>25</v>
      </c>
    </row>
    <row r="188" spans="2:10">
      <c r="B188" s="216" t="s">
        <v>112</v>
      </c>
      <c r="C188" s="217">
        <v>5</v>
      </c>
      <c r="D188" s="217">
        <v>7</v>
      </c>
      <c r="E188" s="217">
        <v>3</v>
      </c>
      <c r="F188" s="217">
        <v>0</v>
      </c>
      <c r="G188" s="217">
        <v>13</v>
      </c>
      <c r="H188" s="217">
        <v>0</v>
      </c>
      <c r="I188" s="218">
        <v>32</v>
      </c>
    </row>
    <row r="189" spans="2:10">
      <c r="B189" s="219" t="s">
        <v>244</v>
      </c>
      <c r="C189" s="220">
        <v>12</v>
      </c>
      <c r="D189" s="220">
        <v>0</v>
      </c>
      <c r="E189" s="220">
        <v>0</v>
      </c>
      <c r="F189" s="220">
        <v>0</v>
      </c>
      <c r="G189" s="220">
        <v>0</v>
      </c>
      <c r="H189" s="220">
        <v>0</v>
      </c>
      <c r="I189" s="221">
        <v>12</v>
      </c>
    </row>
    <row r="190" spans="2:10">
      <c r="B190" s="389" t="s">
        <v>878</v>
      </c>
    </row>
    <row r="191" spans="2:10">
      <c r="B191" s="389"/>
    </row>
    <row r="192" spans="2:10" s="149" customFormat="1" ht="23.25">
      <c r="B192" s="127" t="s">
        <v>661</v>
      </c>
    </row>
    <row r="193" spans="2:9" s="149" customFormat="1" ht="15.75">
      <c r="B193" s="150" t="s">
        <v>332</v>
      </c>
    </row>
    <row r="194" spans="2:9" s="149" customFormat="1" ht="25.5">
      <c r="B194" s="173" t="s">
        <v>64</v>
      </c>
      <c r="C194" s="222" t="s">
        <v>37</v>
      </c>
      <c r="D194" s="222" t="s">
        <v>38</v>
      </c>
      <c r="E194" s="222" t="s">
        <v>6</v>
      </c>
      <c r="F194" s="222" t="s">
        <v>1</v>
      </c>
      <c r="G194" s="223" t="s">
        <v>7</v>
      </c>
      <c r="H194" s="222" t="s">
        <v>65</v>
      </c>
      <c r="I194" s="222" t="s">
        <v>8</v>
      </c>
    </row>
    <row r="195" spans="2:9" s="149" customFormat="1">
      <c r="B195" s="155" t="s">
        <v>149</v>
      </c>
      <c r="C195" s="103">
        <v>908</v>
      </c>
      <c r="D195" s="103">
        <v>777</v>
      </c>
      <c r="E195" s="103">
        <v>1686</v>
      </c>
      <c r="F195" s="224">
        <f>Table792226811241516[[#This Row],[Persons]]/$C$15</f>
        <v>0.25338142470694319</v>
      </c>
      <c r="G195" s="225">
        <v>1499</v>
      </c>
      <c r="H195" s="103">
        <f>Table792226811241516[[#This Row],[Persons]]-Table792226811241516[[#This Row],[2011 Census]]</f>
        <v>187</v>
      </c>
      <c r="I195" s="64">
        <f>IFERROR((Table792226811241516[[#This Row],[Persons]]-Table792226811241516[[#This Row],[2011 Census]])/Table792226811241516[[#This Row],[2011 Census]],"..")</f>
        <v>0.1247498332221481</v>
      </c>
    </row>
    <row r="196" spans="2:9" s="149" customFormat="1">
      <c r="B196" s="158" t="s">
        <v>154</v>
      </c>
      <c r="C196" s="106">
        <v>544</v>
      </c>
      <c r="D196" s="106">
        <v>540</v>
      </c>
      <c r="E196" s="106">
        <v>1084</v>
      </c>
      <c r="F196" s="226">
        <f>Table792226811241516[[#This Row],[Persons]]/$C$15</f>
        <v>0.16290952810339646</v>
      </c>
      <c r="G196" s="227">
        <v>1198</v>
      </c>
      <c r="H196" s="106">
        <f>Table792226811241516[[#This Row],[Persons]]-Table792226811241516[[#This Row],[2011 Census]]</f>
        <v>-114</v>
      </c>
      <c r="I196" s="54">
        <f>IFERROR((Table792226811241516[[#This Row],[Persons]]-Table792226811241516[[#This Row],[2011 Census]])/Table792226811241516[[#This Row],[2011 Census]],"..")</f>
        <v>-9.515859766277128E-2</v>
      </c>
    </row>
    <row r="197" spans="2:9" s="149" customFormat="1">
      <c r="B197" s="155" t="s">
        <v>150</v>
      </c>
      <c r="C197" s="103">
        <v>318</v>
      </c>
      <c r="D197" s="103">
        <v>314</v>
      </c>
      <c r="E197" s="103">
        <v>637</v>
      </c>
      <c r="F197" s="224">
        <f>Table792226811241516[[#This Row],[Persons]]/$C$15</f>
        <v>9.5731890592125043E-2</v>
      </c>
      <c r="G197" s="228">
        <v>618</v>
      </c>
      <c r="H197" s="103">
        <f>Table792226811241516[[#This Row],[Persons]]-Table792226811241516[[#This Row],[2011 Census]]</f>
        <v>19</v>
      </c>
      <c r="I197" s="64">
        <f>IFERROR((Table792226811241516[[#This Row],[Persons]]-Table792226811241516[[#This Row],[2011 Census]])/Table792226811241516[[#This Row],[2011 Census]],"..")</f>
        <v>3.0744336569579287E-2</v>
      </c>
    </row>
    <row r="198" spans="2:9" s="149" customFormat="1">
      <c r="B198" s="158" t="s">
        <v>152</v>
      </c>
      <c r="C198" s="106">
        <v>285</v>
      </c>
      <c r="D198" s="106">
        <v>311</v>
      </c>
      <c r="E198" s="106">
        <v>600</v>
      </c>
      <c r="F198" s="226">
        <f>Table792226811241516[[#This Row],[Persons]]/$C$15</f>
        <v>9.0171325518485126E-2</v>
      </c>
      <c r="G198" s="227">
        <v>567</v>
      </c>
      <c r="H198" s="106">
        <f>Table792226811241516[[#This Row],[Persons]]-Table792226811241516[[#This Row],[2011 Census]]</f>
        <v>33</v>
      </c>
      <c r="I198" s="54">
        <f>IFERROR((Table792226811241516[[#This Row],[Persons]]-Table792226811241516[[#This Row],[2011 Census]])/Table792226811241516[[#This Row],[2011 Census]],"..")</f>
        <v>5.8201058201058198E-2</v>
      </c>
    </row>
    <row r="199" spans="2:9" s="149" customFormat="1">
      <c r="B199" s="155" t="s">
        <v>162</v>
      </c>
      <c r="C199" s="103">
        <v>229</v>
      </c>
      <c r="D199" s="103">
        <v>254</v>
      </c>
      <c r="E199" s="103">
        <v>476</v>
      </c>
      <c r="F199" s="224">
        <f>Table792226811241516[[#This Row],[Persons]]/$C$15</f>
        <v>7.1535918244664862E-2</v>
      </c>
      <c r="G199" s="228">
        <v>600</v>
      </c>
      <c r="H199" s="103">
        <f>Table792226811241516[[#This Row],[Persons]]-Table792226811241516[[#This Row],[2011 Census]]</f>
        <v>-124</v>
      </c>
      <c r="I199" s="64">
        <f>IFERROR((Table792226811241516[[#This Row],[Persons]]-Table792226811241516[[#This Row],[2011 Census]])/Table792226811241516[[#This Row],[2011 Census]],"..")</f>
        <v>-0.20666666666666667</v>
      </c>
    </row>
    <row r="200" spans="2:9" s="149" customFormat="1">
      <c r="B200" s="158" t="s">
        <v>164</v>
      </c>
      <c r="C200" s="106">
        <v>200</v>
      </c>
      <c r="D200" s="106">
        <v>211</v>
      </c>
      <c r="E200" s="106">
        <v>416</v>
      </c>
      <c r="F200" s="226">
        <f>Table792226811241516[[#This Row],[Persons]]/$C$15</f>
        <v>6.2518785692816353E-2</v>
      </c>
      <c r="G200" s="227">
        <v>97</v>
      </c>
      <c r="H200" s="106">
        <f>Table792226811241516[[#This Row],[Persons]]-Table792226811241516[[#This Row],[2011 Census]]</f>
        <v>319</v>
      </c>
      <c r="I200" s="54">
        <f>IFERROR((Table792226811241516[[#This Row],[Persons]]-Table792226811241516[[#This Row],[2011 Census]])/Table792226811241516[[#This Row],[2011 Census]],"..")</f>
        <v>3.2886597938144329</v>
      </c>
    </row>
    <row r="201" spans="2:9" s="149" customFormat="1">
      <c r="B201" s="155" t="s">
        <v>151</v>
      </c>
      <c r="C201" s="103">
        <v>161</v>
      </c>
      <c r="D201" s="103">
        <v>140</v>
      </c>
      <c r="E201" s="103">
        <v>302</v>
      </c>
      <c r="F201" s="224">
        <f>Table792226811241516[[#This Row],[Persons]]/$C$15</f>
        <v>4.538623384430418E-2</v>
      </c>
      <c r="G201" s="228">
        <v>349</v>
      </c>
      <c r="H201" s="103">
        <f>Table792226811241516[[#This Row],[Persons]]-Table792226811241516[[#This Row],[2011 Census]]</f>
        <v>-47</v>
      </c>
      <c r="I201" s="64">
        <f>IFERROR((Table792226811241516[[#This Row],[Persons]]-Table792226811241516[[#This Row],[2011 Census]])/Table792226811241516[[#This Row],[2011 Census]],"..")</f>
        <v>-0.1346704871060172</v>
      </c>
    </row>
    <row r="202" spans="2:9" s="149" customFormat="1">
      <c r="B202" s="158" t="s">
        <v>153</v>
      </c>
      <c r="C202" s="106">
        <v>70</v>
      </c>
      <c r="D202" s="106">
        <v>77</v>
      </c>
      <c r="E202" s="106">
        <v>147</v>
      </c>
      <c r="F202" s="226">
        <f>Table792226811241516[[#This Row],[Persons]]/$C$15</f>
        <v>2.2091974752028856E-2</v>
      </c>
      <c r="G202" s="227">
        <v>167</v>
      </c>
      <c r="H202" s="106">
        <f>Table792226811241516[[#This Row],[Persons]]-Table792226811241516[[#This Row],[2011 Census]]</f>
        <v>-20</v>
      </c>
      <c r="I202" s="54">
        <f>IFERROR((Table792226811241516[[#This Row],[Persons]]-Table792226811241516[[#This Row],[2011 Census]])/Table792226811241516[[#This Row],[2011 Census]],"..")</f>
        <v>-0.11976047904191617</v>
      </c>
    </row>
    <row r="203" spans="2:9" s="149" customFormat="1">
      <c r="B203" s="155" t="s">
        <v>155</v>
      </c>
      <c r="C203" s="103">
        <v>25</v>
      </c>
      <c r="D203" s="103">
        <v>41</v>
      </c>
      <c r="E203" s="103">
        <v>65</v>
      </c>
      <c r="F203" s="224">
        <f>Table792226811241516[[#This Row],[Persons]]/$C$15</f>
        <v>9.7685602645025543E-3</v>
      </c>
      <c r="G203" s="228">
        <v>43</v>
      </c>
      <c r="H203" s="103">
        <f>Table792226811241516[[#This Row],[Persons]]-Table792226811241516[[#This Row],[2011 Census]]</f>
        <v>22</v>
      </c>
      <c r="I203" s="64">
        <f>IFERROR((Table792226811241516[[#This Row],[Persons]]-Table792226811241516[[#This Row],[2011 Census]])/Table792226811241516[[#This Row],[2011 Census]],"..")</f>
        <v>0.51162790697674421</v>
      </c>
    </row>
    <row r="204" spans="2:9" s="149" customFormat="1">
      <c r="B204" s="158" t="s">
        <v>157</v>
      </c>
      <c r="C204" s="106">
        <v>26</v>
      </c>
      <c r="D204" s="106">
        <v>16</v>
      </c>
      <c r="E204" s="106">
        <v>38</v>
      </c>
      <c r="F204" s="226">
        <f>Table792226811241516[[#This Row],[Persons]]/$C$15</f>
        <v>5.7108506161707246E-3</v>
      </c>
      <c r="G204" s="227">
        <v>50</v>
      </c>
      <c r="H204" s="106">
        <f>Table792226811241516[[#This Row],[Persons]]-Table792226811241516[[#This Row],[2011 Census]]</f>
        <v>-12</v>
      </c>
      <c r="I204" s="54">
        <f>IFERROR((Table792226811241516[[#This Row],[Persons]]-Table792226811241516[[#This Row],[2011 Census]])/Table792226811241516[[#This Row],[2011 Census]],"..")</f>
        <v>-0.24</v>
      </c>
    </row>
    <row r="205" spans="2:9" s="149" customFormat="1">
      <c r="B205" s="155" t="s">
        <v>156</v>
      </c>
      <c r="C205" s="103">
        <v>13</v>
      </c>
      <c r="D205" s="103">
        <v>24</v>
      </c>
      <c r="E205" s="103">
        <v>36</v>
      </c>
      <c r="F205" s="224">
        <f>Table792226811241516[[#This Row],[Persons]]/$C$15</f>
        <v>5.4102795311091077E-3</v>
      </c>
      <c r="G205" s="228">
        <v>40</v>
      </c>
      <c r="H205" s="103">
        <f>Table792226811241516[[#This Row],[Persons]]-Table792226811241516[[#This Row],[2011 Census]]</f>
        <v>-4</v>
      </c>
      <c r="I205" s="64">
        <f>IFERROR((Table792226811241516[[#This Row],[Persons]]-Table792226811241516[[#This Row],[2011 Census]])/Table792226811241516[[#This Row],[2011 Census]],"..")</f>
        <v>-0.1</v>
      </c>
    </row>
    <row r="206" spans="2:9" s="149" customFormat="1">
      <c r="B206" s="158" t="s">
        <v>159</v>
      </c>
      <c r="C206" s="106">
        <v>12</v>
      </c>
      <c r="D206" s="106">
        <v>20</v>
      </c>
      <c r="E206" s="106">
        <v>32</v>
      </c>
      <c r="F206" s="226">
        <f>Table792226811241516[[#This Row],[Persons]]/$C$15</f>
        <v>4.8091373609858729E-3</v>
      </c>
      <c r="G206" s="227">
        <v>22</v>
      </c>
      <c r="H206" s="106">
        <f>Table792226811241516[[#This Row],[Persons]]-Table792226811241516[[#This Row],[2011 Census]]</f>
        <v>10</v>
      </c>
      <c r="I206" s="54">
        <f>IFERROR((Table792226811241516[[#This Row],[Persons]]-Table792226811241516[[#This Row],[2011 Census]])/Table792226811241516[[#This Row],[2011 Census]],"..")</f>
        <v>0.45454545454545453</v>
      </c>
    </row>
    <row r="207" spans="2:9" s="149" customFormat="1">
      <c r="B207" s="155" t="s">
        <v>166</v>
      </c>
      <c r="C207" s="103">
        <v>15</v>
      </c>
      <c r="D207" s="103">
        <v>10</v>
      </c>
      <c r="E207" s="103">
        <v>29</v>
      </c>
      <c r="F207" s="224">
        <f>Table792226811241516[[#This Row],[Persons]]/$C$15</f>
        <v>4.3582807333934475E-3</v>
      </c>
      <c r="G207" s="228">
        <v>12</v>
      </c>
      <c r="H207" s="103">
        <f>Table792226811241516[[#This Row],[Persons]]-Table792226811241516[[#This Row],[2011 Census]]</f>
        <v>17</v>
      </c>
      <c r="I207" s="64">
        <f>IFERROR((Table792226811241516[[#This Row],[Persons]]-Table792226811241516[[#This Row],[2011 Census]])/Table792226811241516[[#This Row],[2011 Census]],"..")</f>
        <v>1.4166666666666667</v>
      </c>
    </row>
    <row r="208" spans="2:9" s="149" customFormat="1">
      <c r="B208" s="158" t="s">
        <v>158</v>
      </c>
      <c r="C208" s="106">
        <v>15</v>
      </c>
      <c r="D208" s="106">
        <v>10</v>
      </c>
      <c r="E208" s="106">
        <v>28</v>
      </c>
      <c r="F208" s="226">
        <f>Table792226811241516[[#This Row],[Persons]]/$C$15</f>
        <v>4.207995190862639E-3</v>
      </c>
      <c r="G208" s="227">
        <v>8</v>
      </c>
      <c r="H208" s="106">
        <f>Table792226811241516[[#This Row],[Persons]]-Table792226811241516[[#This Row],[2011 Census]]</f>
        <v>20</v>
      </c>
      <c r="I208" s="54">
        <f>IFERROR((Table792226811241516[[#This Row],[Persons]]-Table792226811241516[[#This Row],[2011 Census]])/Table792226811241516[[#This Row],[2011 Census]],"..")</f>
        <v>2.5</v>
      </c>
    </row>
    <row r="209" spans="2:10" s="149" customFormat="1">
      <c r="B209" s="155" t="s">
        <v>163</v>
      </c>
      <c r="C209" s="103">
        <v>12</v>
      </c>
      <c r="D209" s="103">
        <v>15</v>
      </c>
      <c r="E209" s="103">
        <v>24</v>
      </c>
      <c r="F209" s="224">
        <f>Table792226811241516[[#This Row],[Persons]]/$C$15</f>
        <v>3.6068530207394047E-3</v>
      </c>
      <c r="G209" s="228">
        <v>23</v>
      </c>
      <c r="H209" s="103">
        <f>Table792226811241516[[#This Row],[Persons]]-Table792226811241516[[#This Row],[2011 Census]]</f>
        <v>1</v>
      </c>
      <c r="I209" s="64">
        <f>IFERROR((Table792226811241516[[#This Row],[Persons]]-Table792226811241516[[#This Row],[2011 Census]])/Table792226811241516[[#This Row],[2011 Census]],"..")</f>
        <v>4.3478260869565216E-2</v>
      </c>
    </row>
    <row r="210" spans="2:10" s="149" customFormat="1">
      <c r="B210" s="158" t="s">
        <v>161</v>
      </c>
      <c r="C210" s="106">
        <v>9</v>
      </c>
      <c r="D210" s="106">
        <v>7</v>
      </c>
      <c r="E210" s="106">
        <v>16</v>
      </c>
      <c r="F210" s="226">
        <f>Table792226811241516[[#This Row],[Persons]]/$C$15</f>
        <v>2.4045686804929365E-3</v>
      </c>
      <c r="G210" s="227">
        <v>19</v>
      </c>
      <c r="H210" s="106">
        <f>Table792226811241516[[#This Row],[Persons]]-Table792226811241516[[#This Row],[2011 Census]]</f>
        <v>-3</v>
      </c>
      <c r="I210" s="54">
        <f>IFERROR((Table792226811241516[[#This Row],[Persons]]-Table792226811241516[[#This Row],[2011 Census]])/Table792226811241516[[#This Row],[2011 Census]],"..")</f>
        <v>-0.15789473684210525</v>
      </c>
    </row>
    <row r="211" spans="2:10" s="149" customFormat="1">
      <c r="B211" s="155" t="s">
        <v>165</v>
      </c>
      <c r="C211" s="103">
        <v>7</v>
      </c>
      <c r="D211" s="103">
        <v>0</v>
      </c>
      <c r="E211" s="103">
        <v>8</v>
      </c>
      <c r="F211" s="224">
        <f>Table792226811241516[[#This Row],[Persons]]/$C$15</f>
        <v>1.2022843402464682E-3</v>
      </c>
      <c r="G211" s="228">
        <v>0</v>
      </c>
      <c r="H211" s="103">
        <f>Table792226811241516[[#This Row],[Persons]]-Table792226811241516[[#This Row],[2011 Census]]</f>
        <v>8</v>
      </c>
      <c r="I211" s="64" t="str">
        <f>IFERROR((Table792226811241516[[#This Row],[Persons]]-Table792226811241516[[#This Row],[2011 Census]])/Table792226811241516[[#This Row],[2011 Census]],"..")</f>
        <v>..</v>
      </c>
    </row>
    <row r="212" spans="2:10" s="149" customFormat="1">
      <c r="B212" s="158" t="s">
        <v>167</v>
      </c>
      <c r="C212" s="106">
        <v>8</v>
      </c>
      <c r="D212" s="106">
        <v>3</v>
      </c>
      <c r="E212" s="106">
        <v>7</v>
      </c>
      <c r="F212" s="226">
        <f>Table792226811241516[[#This Row],[Persons]]/$C$15</f>
        <v>1.0519987977156598E-3</v>
      </c>
      <c r="G212" s="227">
        <v>0</v>
      </c>
      <c r="H212" s="106">
        <f>Table792226811241516[[#This Row],[Persons]]-Table792226811241516[[#This Row],[2011 Census]]</f>
        <v>7</v>
      </c>
      <c r="I212" s="54" t="str">
        <f>IFERROR((Table792226811241516[[#This Row],[Persons]]-Table792226811241516[[#This Row],[2011 Census]])/Table792226811241516[[#This Row],[2011 Census]],"..")</f>
        <v>..</v>
      </c>
    </row>
    <row r="213" spans="2:10" s="149" customFormat="1">
      <c r="B213" s="155" t="s">
        <v>160</v>
      </c>
      <c r="C213" s="103">
        <v>0</v>
      </c>
      <c r="D213" s="103">
        <v>0</v>
      </c>
      <c r="E213" s="103">
        <v>4</v>
      </c>
      <c r="F213" s="226">
        <f>Table792226811241516[[#This Row],[Persons]]/$C$15</f>
        <v>6.0114217012323412E-4</v>
      </c>
      <c r="G213" s="228">
        <v>4</v>
      </c>
      <c r="H213" s="103">
        <f>Table792226811241516[[#This Row],[Persons]]-Table792226811241516[[#This Row],[2011 Census]]</f>
        <v>0</v>
      </c>
      <c r="I213" s="54">
        <f>IFERROR((Table792226811241516[[#This Row],[Persons]]-Table792226811241516[[#This Row],[2011 Census]])/Table792226811241516[[#This Row],[2011 Census]],"..")</f>
        <v>0</v>
      </c>
    </row>
    <row r="214" spans="2:10" s="149" customFormat="1">
      <c r="B214" s="158" t="s">
        <v>168</v>
      </c>
      <c r="C214" s="106">
        <v>0</v>
      </c>
      <c r="D214" s="106">
        <v>0</v>
      </c>
      <c r="E214" s="106">
        <v>0</v>
      </c>
      <c r="F214" s="226">
        <f>Table792226811241516[[#This Row],[Persons]]/$C$15</f>
        <v>0</v>
      </c>
      <c r="G214" s="227">
        <v>5</v>
      </c>
      <c r="H214" s="106">
        <f>Table792226811241516[[#This Row],[Persons]]-Table792226811241516[[#This Row],[2011 Census]]</f>
        <v>-5</v>
      </c>
      <c r="I214" s="54">
        <f>IFERROR((Table792226811241516[[#This Row],[Persons]]-Table792226811241516[[#This Row],[2011 Census]])/Table792226811241516[[#This Row],[2011 Census]],"..")</f>
        <v>-1</v>
      </c>
    </row>
    <row r="215" spans="2:10" s="149" customFormat="1">
      <c r="B215" s="158" t="s">
        <v>71</v>
      </c>
      <c r="C215" s="106">
        <v>79</v>
      </c>
      <c r="D215" s="106">
        <v>88</v>
      </c>
      <c r="E215" s="106">
        <v>169</v>
      </c>
      <c r="F215" s="226">
        <f>Table792226811241516[[#This Row],[Persons]]/$C$15</f>
        <v>2.5398256687706643E-2</v>
      </c>
      <c r="G215" s="227">
        <v>219</v>
      </c>
      <c r="H215" s="106">
        <f>Table792226811241516[[#This Row],[Persons]]-Table792226811241516[[#This Row],[2011 Census]]</f>
        <v>-50</v>
      </c>
      <c r="I215" s="54">
        <f>IFERROR((Table792226811241516[[#This Row],[Persons]]-Table792226811241516[[#This Row],[2011 Census]])/Table792226811241516[[#This Row],[2011 Census]],"..")</f>
        <v>-0.22831050228310501</v>
      </c>
    </row>
    <row r="216" spans="2:10" s="149" customFormat="1">
      <c r="B216" s="158" t="s">
        <v>58</v>
      </c>
      <c r="C216" s="106">
        <v>483</v>
      </c>
      <c r="D216" s="106">
        <v>374</v>
      </c>
      <c r="E216" s="106">
        <v>855</v>
      </c>
      <c r="F216" s="226">
        <f>Table792226811241516[[#This Row],[Persons]]/$C$15</f>
        <v>0.12849413886384131</v>
      </c>
      <c r="G216" s="227">
        <v>1332</v>
      </c>
      <c r="H216" s="106">
        <f>Table792226811241516[[#This Row],[Persons]]-Table792226811241516[[#This Row],[2011 Census]]</f>
        <v>-477</v>
      </c>
      <c r="I216" s="54">
        <f>IFERROR((Table792226811241516[[#This Row],[Persons]]-Table792226811241516[[#This Row],[2011 Census]])/Table792226811241516[[#This Row],[2011 Census]],"..")</f>
        <v>-0.35810810810810811</v>
      </c>
    </row>
    <row r="217" spans="2:10" s="149" customFormat="1" ht="15.75">
      <c r="B217" s="115" t="s">
        <v>72</v>
      </c>
      <c r="C217" s="229" t="s">
        <v>302</v>
      </c>
      <c r="D217" s="229" t="s">
        <v>303</v>
      </c>
      <c r="E217" s="116">
        <f>C15</f>
        <v>6654</v>
      </c>
      <c r="F217" s="230" t="s">
        <v>22</v>
      </c>
      <c r="G217" s="116">
        <f>E15</f>
        <v>6823</v>
      </c>
      <c r="H217" s="229">
        <f>Table792226811241516[[#Totals],[Persons]]-Table792226811241516[[#Totals],[2011 Census]]</f>
        <v>-169</v>
      </c>
      <c r="I217" s="231">
        <f>SUM((Table792226811241516[[#Totals],[Persons]]-Table792226811241516[[#Totals],[2011 Census]])/Table792226811241516[[#Totals],[2011 Census]])</f>
        <v>-2.4769163124725196E-2</v>
      </c>
    </row>
    <row r="218" spans="2:10" ht="15">
      <c r="B218" s="232"/>
      <c r="C218" s="232"/>
      <c r="D218" s="232"/>
      <c r="E218" s="232"/>
      <c r="F218" s="232"/>
      <c r="G218" s="232"/>
      <c r="H218" s="232"/>
      <c r="I218" s="232"/>
    </row>
    <row r="219" spans="2:10" ht="23.25">
      <c r="B219" s="127" t="s">
        <v>662</v>
      </c>
    </row>
    <row r="220" spans="2:10" ht="15.75">
      <c r="B220" s="150" t="s">
        <v>827</v>
      </c>
    </row>
    <row r="221" spans="2:10" ht="25.5">
      <c r="B221" s="173" t="s">
        <v>64</v>
      </c>
      <c r="C221" s="222" t="s">
        <v>66</v>
      </c>
      <c r="D221" s="222" t="s">
        <v>67</v>
      </c>
      <c r="E221" s="222" t="s">
        <v>58</v>
      </c>
      <c r="F221" s="233" t="s">
        <v>68</v>
      </c>
      <c r="G221" s="233" t="s">
        <v>24</v>
      </c>
      <c r="H221" s="233" t="s">
        <v>25</v>
      </c>
      <c r="I221" s="233" t="s">
        <v>69</v>
      </c>
      <c r="J221" s="233" t="s">
        <v>27</v>
      </c>
    </row>
    <row r="222" spans="2:10">
      <c r="B222" s="155" t="s">
        <v>149</v>
      </c>
      <c r="C222" s="103">
        <v>1483</v>
      </c>
      <c r="D222" s="103">
        <v>141</v>
      </c>
      <c r="E222" s="103">
        <v>61</v>
      </c>
      <c r="F222" s="234">
        <v>462</v>
      </c>
      <c r="G222" s="235">
        <v>269</v>
      </c>
      <c r="H222" s="235">
        <v>543</v>
      </c>
      <c r="I222" s="236">
        <v>332</v>
      </c>
      <c r="J222" s="235">
        <v>81</v>
      </c>
    </row>
    <row r="223" spans="2:10">
      <c r="B223" s="158" t="s">
        <v>154</v>
      </c>
      <c r="C223" s="106">
        <v>1067</v>
      </c>
      <c r="D223" s="106">
        <v>8</v>
      </c>
      <c r="E223" s="106">
        <v>5</v>
      </c>
      <c r="F223" s="237">
        <v>344</v>
      </c>
      <c r="G223" s="238">
        <v>202</v>
      </c>
      <c r="H223" s="238">
        <v>322</v>
      </c>
      <c r="I223" s="239">
        <v>172</v>
      </c>
      <c r="J223" s="238">
        <v>40</v>
      </c>
    </row>
    <row r="224" spans="2:10">
      <c r="B224" s="155" t="s">
        <v>150</v>
      </c>
      <c r="C224" s="103">
        <v>486</v>
      </c>
      <c r="D224" s="103">
        <v>131</v>
      </c>
      <c r="E224" s="103">
        <v>17</v>
      </c>
      <c r="F224" s="240">
        <v>127</v>
      </c>
      <c r="G224" s="241">
        <v>84</v>
      </c>
      <c r="H224" s="241">
        <v>188</v>
      </c>
      <c r="I224" s="242">
        <v>195</v>
      </c>
      <c r="J224" s="241">
        <v>46</v>
      </c>
    </row>
    <row r="225" spans="2:10">
      <c r="B225" s="158" t="s">
        <v>152</v>
      </c>
      <c r="C225" s="106">
        <v>587</v>
      </c>
      <c r="D225" s="106">
        <v>4</v>
      </c>
      <c r="E225" s="106">
        <v>4</v>
      </c>
      <c r="F225" s="237">
        <v>198</v>
      </c>
      <c r="G225" s="238">
        <v>106</v>
      </c>
      <c r="H225" s="238">
        <v>138</v>
      </c>
      <c r="I225" s="239">
        <v>112</v>
      </c>
      <c r="J225" s="238">
        <v>45</v>
      </c>
    </row>
    <row r="226" spans="2:10">
      <c r="B226" s="155" t="s">
        <v>162</v>
      </c>
      <c r="C226" s="103">
        <v>467</v>
      </c>
      <c r="D226" s="103">
        <v>5</v>
      </c>
      <c r="E226" s="103">
        <v>6</v>
      </c>
      <c r="F226" s="240">
        <v>155</v>
      </c>
      <c r="G226" s="241">
        <v>87</v>
      </c>
      <c r="H226" s="241">
        <v>113</v>
      </c>
      <c r="I226" s="242">
        <v>95</v>
      </c>
      <c r="J226" s="241">
        <v>27</v>
      </c>
    </row>
    <row r="227" spans="2:10">
      <c r="B227" s="158" t="s">
        <v>164</v>
      </c>
      <c r="C227" s="106">
        <v>403</v>
      </c>
      <c r="D227" s="106">
        <v>0</v>
      </c>
      <c r="E227" s="106">
        <v>12</v>
      </c>
      <c r="F227" s="237">
        <v>148</v>
      </c>
      <c r="G227" s="238">
        <v>96</v>
      </c>
      <c r="H227" s="238">
        <v>99</v>
      </c>
      <c r="I227" s="239">
        <v>52</v>
      </c>
      <c r="J227" s="238">
        <v>16</v>
      </c>
    </row>
    <row r="228" spans="2:10">
      <c r="B228" s="155" t="s">
        <v>151</v>
      </c>
      <c r="C228" s="103">
        <v>252</v>
      </c>
      <c r="D228" s="103">
        <v>31</v>
      </c>
      <c r="E228" s="103">
        <v>13</v>
      </c>
      <c r="F228" s="240">
        <v>36</v>
      </c>
      <c r="G228" s="241">
        <v>36</v>
      </c>
      <c r="H228" s="241">
        <v>71</v>
      </c>
      <c r="I228" s="242">
        <v>103</v>
      </c>
      <c r="J228" s="241">
        <v>50</v>
      </c>
    </row>
    <row r="229" spans="2:10">
      <c r="B229" s="158" t="s">
        <v>153</v>
      </c>
      <c r="C229" s="106">
        <v>129</v>
      </c>
      <c r="D229" s="106">
        <v>7</v>
      </c>
      <c r="E229" s="106">
        <v>4</v>
      </c>
      <c r="F229" s="237">
        <v>30</v>
      </c>
      <c r="G229" s="238">
        <v>10</v>
      </c>
      <c r="H229" s="238">
        <v>34</v>
      </c>
      <c r="I229" s="239">
        <v>47</v>
      </c>
      <c r="J229" s="238">
        <v>28</v>
      </c>
    </row>
    <row r="230" spans="2:10">
      <c r="B230" s="155" t="s">
        <v>155</v>
      </c>
      <c r="C230" s="103">
        <v>56</v>
      </c>
      <c r="D230" s="103">
        <v>5</v>
      </c>
      <c r="E230" s="103">
        <v>0</v>
      </c>
      <c r="F230" s="240">
        <v>20</v>
      </c>
      <c r="G230" s="241">
        <v>3</v>
      </c>
      <c r="H230" s="241">
        <v>17</v>
      </c>
      <c r="I230" s="242">
        <v>12</v>
      </c>
      <c r="J230" s="241">
        <v>9</v>
      </c>
    </row>
    <row r="231" spans="2:10">
      <c r="B231" s="158" t="s">
        <v>157</v>
      </c>
      <c r="C231" s="106">
        <v>22</v>
      </c>
      <c r="D231" s="106">
        <v>16</v>
      </c>
      <c r="E231" s="106">
        <v>0</v>
      </c>
      <c r="F231" s="237">
        <v>0</v>
      </c>
      <c r="G231" s="238">
        <v>0</v>
      </c>
      <c r="H231" s="238">
        <v>6</v>
      </c>
      <c r="I231" s="239">
        <v>20</v>
      </c>
      <c r="J231" s="238">
        <v>15</v>
      </c>
    </row>
    <row r="232" spans="2:10">
      <c r="B232" s="155" t="s">
        <v>156</v>
      </c>
      <c r="C232" s="103">
        <v>10</v>
      </c>
      <c r="D232" s="103">
        <v>20</v>
      </c>
      <c r="E232" s="103">
        <v>0</v>
      </c>
      <c r="F232" s="240">
        <v>0</v>
      </c>
      <c r="G232" s="241">
        <v>0</v>
      </c>
      <c r="H232" s="241">
        <v>16</v>
      </c>
      <c r="I232" s="242">
        <v>11</v>
      </c>
      <c r="J232" s="241">
        <v>4</v>
      </c>
    </row>
    <row r="233" spans="2:10">
      <c r="B233" s="158" t="s">
        <v>159</v>
      </c>
      <c r="C233" s="106">
        <v>31</v>
      </c>
      <c r="D233" s="106">
        <v>0</v>
      </c>
      <c r="E233" s="106">
        <v>0</v>
      </c>
      <c r="F233" s="237">
        <v>9</v>
      </c>
      <c r="G233" s="238">
        <v>3</v>
      </c>
      <c r="H233" s="238">
        <v>13</v>
      </c>
      <c r="I233" s="239">
        <v>6</v>
      </c>
      <c r="J233" s="238">
        <v>0</v>
      </c>
    </row>
    <row r="234" spans="2:10">
      <c r="B234" s="155" t="s">
        <v>166</v>
      </c>
      <c r="C234" s="103">
        <v>13</v>
      </c>
      <c r="D234" s="103">
        <v>18</v>
      </c>
      <c r="E234" s="103">
        <v>0</v>
      </c>
      <c r="F234" s="240">
        <v>7</v>
      </c>
      <c r="G234" s="241">
        <v>5</v>
      </c>
      <c r="H234" s="241">
        <v>8</v>
      </c>
      <c r="I234" s="242">
        <v>8</v>
      </c>
      <c r="J234" s="241">
        <v>4</v>
      </c>
    </row>
    <row r="235" spans="2:10">
      <c r="B235" s="158" t="s">
        <v>158</v>
      </c>
      <c r="C235" s="106">
        <v>0</v>
      </c>
      <c r="D235" s="106">
        <v>21</v>
      </c>
      <c r="E235" s="106">
        <v>0</v>
      </c>
      <c r="F235" s="237">
        <v>0</v>
      </c>
      <c r="G235" s="238">
        <v>4</v>
      </c>
      <c r="H235" s="238">
        <v>19</v>
      </c>
      <c r="I235" s="239">
        <v>0</v>
      </c>
      <c r="J235" s="238">
        <v>0</v>
      </c>
    </row>
    <row r="236" spans="2:10">
      <c r="B236" s="155" t="s">
        <v>163</v>
      </c>
      <c r="C236" s="103">
        <v>15</v>
      </c>
      <c r="D236" s="103">
        <v>14</v>
      </c>
      <c r="E236" s="103">
        <v>0</v>
      </c>
      <c r="F236" s="240">
        <v>6</v>
      </c>
      <c r="G236" s="241">
        <v>0</v>
      </c>
      <c r="H236" s="241">
        <v>8</v>
      </c>
      <c r="I236" s="242">
        <v>9</v>
      </c>
      <c r="J236" s="241">
        <v>3</v>
      </c>
    </row>
    <row r="237" spans="2:10">
      <c r="B237" s="158" t="s">
        <v>161</v>
      </c>
      <c r="C237" s="106">
        <v>7</v>
      </c>
      <c r="D237" s="106">
        <v>10</v>
      </c>
      <c r="E237" s="106">
        <v>0</v>
      </c>
      <c r="F237" s="237">
        <v>4</v>
      </c>
      <c r="G237" s="238">
        <v>0</v>
      </c>
      <c r="H237" s="238">
        <v>6</v>
      </c>
      <c r="I237" s="239">
        <v>0</v>
      </c>
      <c r="J237" s="238">
        <v>0</v>
      </c>
    </row>
    <row r="238" spans="2:10">
      <c r="B238" s="155" t="s">
        <v>165</v>
      </c>
      <c r="C238" s="103">
        <v>3</v>
      </c>
      <c r="D238" s="103">
        <v>0</v>
      </c>
      <c r="E238" s="103">
        <v>0</v>
      </c>
      <c r="F238" s="240">
        <v>0</v>
      </c>
      <c r="G238" s="241">
        <v>0</v>
      </c>
      <c r="H238" s="241">
        <v>9</v>
      </c>
      <c r="I238" s="242">
        <v>0</v>
      </c>
      <c r="J238" s="241">
        <v>0</v>
      </c>
    </row>
    <row r="239" spans="2:10">
      <c r="B239" s="158" t="s">
        <v>167</v>
      </c>
      <c r="C239" s="106">
        <v>0</v>
      </c>
      <c r="D239" s="106">
        <v>7</v>
      </c>
      <c r="E239" s="106">
        <v>0</v>
      </c>
      <c r="F239" s="237">
        <v>0</v>
      </c>
      <c r="G239" s="238">
        <v>0</v>
      </c>
      <c r="H239" s="238">
        <v>0</v>
      </c>
      <c r="I239" s="239">
        <v>3</v>
      </c>
      <c r="J239" s="238">
        <v>0</v>
      </c>
    </row>
    <row r="240" spans="2:10">
      <c r="B240" s="155" t="s">
        <v>160</v>
      </c>
      <c r="C240" s="103">
        <v>0</v>
      </c>
      <c r="D240" s="103">
        <v>0</v>
      </c>
      <c r="E240" s="103">
        <v>0</v>
      </c>
      <c r="F240" s="240">
        <v>0</v>
      </c>
      <c r="G240" s="241">
        <v>0</v>
      </c>
      <c r="H240" s="241">
        <v>4</v>
      </c>
      <c r="I240" s="242">
        <v>0</v>
      </c>
      <c r="J240" s="241">
        <v>0</v>
      </c>
    </row>
    <row r="241" spans="2:11">
      <c r="B241" s="158" t="s">
        <v>168</v>
      </c>
      <c r="C241" s="106">
        <v>0</v>
      </c>
      <c r="D241" s="106">
        <v>0</v>
      </c>
      <c r="E241" s="106">
        <v>0</v>
      </c>
      <c r="F241" s="237">
        <v>0</v>
      </c>
      <c r="G241" s="238">
        <v>0</v>
      </c>
      <c r="H241" s="238">
        <v>0</v>
      </c>
      <c r="I241" s="239">
        <v>0</v>
      </c>
      <c r="J241" s="238">
        <v>0</v>
      </c>
    </row>
    <row r="242" spans="2:11" s="243" customFormat="1">
      <c r="B242" s="156" t="s">
        <v>71</v>
      </c>
      <c r="C242" s="241">
        <v>127</v>
      </c>
      <c r="D242" s="241">
        <v>44</v>
      </c>
      <c r="E242" s="241">
        <v>3</v>
      </c>
      <c r="F242" s="240">
        <v>38</v>
      </c>
      <c r="G242" s="241">
        <v>31</v>
      </c>
      <c r="H242" s="241">
        <v>59</v>
      </c>
      <c r="I242" s="241">
        <v>34</v>
      </c>
      <c r="J242" s="247">
        <v>10</v>
      </c>
    </row>
    <row r="243" spans="2:11">
      <c r="B243" s="158" t="s">
        <v>58</v>
      </c>
      <c r="C243" s="106">
        <v>791</v>
      </c>
      <c r="D243" s="106">
        <v>246</v>
      </c>
      <c r="E243" s="106">
        <v>2680</v>
      </c>
      <c r="F243" s="237">
        <v>166</v>
      </c>
      <c r="G243" s="238">
        <v>168</v>
      </c>
      <c r="H243" s="238">
        <v>301</v>
      </c>
      <c r="I243" s="239">
        <v>179</v>
      </c>
      <c r="J243" s="238">
        <v>41</v>
      </c>
    </row>
    <row r="244" spans="2:11" s="243" customFormat="1" ht="15">
      <c r="B244" s="248" t="s">
        <v>72</v>
      </c>
      <c r="C244" s="249">
        <f>C16</f>
        <v>5650</v>
      </c>
      <c r="D244" s="249">
        <f>C17</f>
        <v>505</v>
      </c>
      <c r="E244" s="249">
        <f>C18</f>
        <v>501</v>
      </c>
      <c r="F244" s="250" t="s">
        <v>179</v>
      </c>
      <c r="G244" s="251" t="s">
        <v>180</v>
      </c>
      <c r="H244" s="251" t="s">
        <v>181</v>
      </c>
      <c r="I244" s="251" t="s">
        <v>182</v>
      </c>
      <c r="J244" s="251" t="s">
        <v>183</v>
      </c>
    </row>
    <row r="247" spans="2:11" ht="15.75">
      <c r="K247" s="285" t="s">
        <v>642</v>
      </c>
    </row>
    <row r="248" spans="2:11" ht="15.75">
      <c r="B248" s="499" t="s">
        <v>857</v>
      </c>
      <c r="C248" s="500"/>
      <c r="D248" s="500"/>
      <c r="E248" s="500"/>
      <c r="F248" s="500"/>
      <c r="G248" s="500"/>
      <c r="H248" s="500"/>
      <c r="I248" s="500"/>
      <c r="J248" s="501"/>
    </row>
    <row r="249" spans="2:11" ht="15.75">
      <c r="B249" s="502" t="s">
        <v>424</v>
      </c>
      <c r="C249" s="503"/>
      <c r="D249" s="503"/>
      <c r="E249" s="503"/>
      <c r="F249" s="503"/>
      <c r="G249" s="503"/>
      <c r="H249" s="503"/>
      <c r="I249" s="503"/>
      <c r="J249" s="504"/>
    </row>
    <row r="250" spans="2:11" ht="15.75">
      <c r="B250" s="505" t="s">
        <v>824</v>
      </c>
      <c r="C250" s="506"/>
      <c r="D250" s="506"/>
      <c r="E250" s="506"/>
      <c r="F250" s="506"/>
      <c r="G250" s="506"/>
      <c r="H250" s="506"/>
      <c r="I250" s="506"/>
      <c r="J250" s="507"/>
    </row>
  </sheetData>
  <sheetProtection algorithmName="SHA-512" hashValue="g06U743OXRH3w8MTCmnDu+KprfvoSQuQmtxmzjjFoub2ySL47uQZm50loxyz3MV9sQIr2rk5elAgDjM4zVmkMQ==" saltValue="wWe6uwg8O+fDoubd5D/9kA==" spinCount="100000" sheet="1" objects="1" scenarios="1"/>
  <mergeCells count="2">
    <mergeCell ref="C178:F178"/>
    <mergeCell ref="J1:K1"/>
  </mergeCells>
  <hyperlinks>
    <hyperlink ref="J1:K1" location="'Index '!A1" display="Back to Index"/>
    <hyperlink ref="K247" location="'3.3 Barkly'!K1" display="Back to top"/>
  </hyperlinks>
  <pageMargins left="0.3543307086614173" right="3.937007874015748E-2" top="0.51181102362204722" bottom="0.3543307086614173" header="0.11811023622047244" footer="0.11811023622047244"/>
  <pageSetup paperSize="9" scale="57" fitToHeight="10" orientation="portrait" horizontalDpi="300" verticalDpi="300" r:id="rId1"/>
  <headerFooter differentFirst="1" alignWithMargins="0">
    <oddHeader>&amp;L&amp;"Helvetica Bold,Bold"&amp;18&amp;K000000X LGA (Continued)</oddHeader>
  </headerFooter>
  <ignoredErrors>
    <ignoredError sqref="D15:D25" calculatedColumn="1"/>
  </ignoredErrors>
  <drawing r:id="rId2"/>
  <tableParts count="6">
    <tablePart r:id="rId3"/>
    <tablePart r:id="rId4"/>
    <tablePart r:id="rId5"/>
    <tablePart r:id="rId6"/>
    <tablePart r:id="rId7"/>
    <tablePart r:id="rId8"/>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0"/>
  <sheetViews>
    <sheetView showGridLines="0" zoomScaleNormal="100" zoomScaleSheetLayoutView="120" zoomScalePageLayoutView="75" workbookViewId="0">
      <selection activeCell="J1" sqref="J1:K1"/>
    </sheetView>
  </sheetViews>
  <sheetFormatPr defaultColWidth="15.625" defaultRowHeight="12.75"/>
  <cols>
    <col min="1" max="1" width="5.875" style="118" customWidth="1"/>
    <col min="2" max="2" width="41.5" style="118" customWidth="1"/>
    <col min="3" max="10" width="10.875" style="118" customWidth="1"/>
    <col min="11" max="11" width="11.625" style="118" customWidth="1"/>
    <col min="12" max="14" width="15.625" style="118" customWidth="1"/>
    <col min="15" max="18" width="15.625" style="118"/>
    <col min="19" max="28" width="15.625" style="118" customWidth="1"/>
    <col min="29" max="16384" width="15.625" style="118"/>
  </cols>
  <sheetData>
    <row r="1" spans="1:11" ht="15.75">
      <c r="B1" s="122"/>
      <c r="C1" s="122"/>
      <c r="D1" s="122"/>
      <c r="E1" s="122"/>
      <c r="F1" s="122"/>
      <c r="J1" s="1229" t="s">
        <v>359</v>
      </c>
      <c r="K1" s="1229"/>
    </row>
    <row r="2" spans="1:11" ht="30">
      <c r="A2" s="119"/>
      <c r="B2" s="119" t="s">
        <v>882</v>
      </c>
      <c r="C2" s="120"/>
      <c r="D2" s="120"/>
      <c r="E2" s="120"/>
      <c r="F2" s="120"/>
      <c r="G2" s="121"/>
      <c r="H2" s="121"/>
      <c r="I2" s="121"/>
      <c r="J2" s="121"/>
      <c r="K2" s="121"/>
    </row>
    <row r="3" spans="1:11">
      <c r="B3" s="122"/>
      <c r="C3" s="122"/>
      <c r="D3" s="122"/>
      <c r="E3" s="122"/>
      <c r="F3" s="122"/>
    </row>
    <row r="4" spans="1:11" ht="15">
      <c r="B4" s="124" t="s">
        <v>0</v>
      </c>
      <c r="C4" s="125" t="s">
        <v>1</v>
      </c>
      <c r="D4" s="122"/>
      <c r="E4" s="122"/>
      <c r="F4" s="122"/>
    </row>
    <row r="5" spans="1:11" ht="15">
      <c r="B5" s="126" t="s">
        <v>2</v>
      </c>
      <c r="C5" s="125">
        <f>D16</f>
        <v>1</v>
      </c>
      <c r="D5" s="122"/>
      <c r="E5" s="122"/>
      <c r="F5" s="122"/>
    </row>
    <row r="6" spans="1:11" ht="15">
      <c r="B6" s="126" t="s">
        <v>3</v>
      </c>
      <c r="C6" s="125">
        <f>D18</f>
        <v>0</v>
      </c>
      <c r="D6" s="123"/>
      <c r="E6" s="122"/>
      <c r="F6" s="122"/>
    </row>
    <row r="7" spans="1:11" ht="15">
      <c r="B7" s="126" t="s">
        <v>4</v>
      </c>
      <c r="C7" s="125">
        <f>D19</f>
        <v>0</v>
      </c>
      <c r="D7" s="123"/>
      <c r="E7" s="122"/>
      <c r="F7" s="122"/>
    </row>
    <row r="8" spans="1:11" ht="15">
      <c r="B8" s="122" t="s">
        <v>5</v>
      </c>
      <c r="C8" s="125">
        <f>D20</f>
        <v>0</v>
      </c>
      <c r="D8" s="123"/>
      <c r="E8" s="122"/>
      <c r="F8" s="122"/>
    </row>
    <row r="9" spans="1:11">
      <c r="B9" s="122"/>
      <c r="C9" s="122"/>
      <c r="D9" s="123"/>
      <c r="E9" s="122"/>
      <c r="F9" s="122"/>
    </row>
    <row r="10" spans="1:11">
      <c r="B10" s="122"/>
      <c r="C10" s="122"/>
      <c r="D10" s="123"/>
      <c r="E10" s="122"/>
      <c r="F10" s="122"/>
    </row>
    <row r="11" spans="1:11">
      <c r="B11" s="122"/>
      <c r="C11" s="122"/>
      <c r="D11" s="123"/>
      <c r="E11" s="122"/>
      <c r="F11" s="122"/>
    </row>
    <row r="12" spans="1:11" ht="23.25">
      <c r="B12" s="127" t="s">
        <v>663</v>
      </c>
    </row>
    <row r="13" spans="1:11">
      <c r="B13" s="122"/>
      <c r="C13" s="122"/>
      <c r="D13" s="123"/>
      <c r="E13" s="122"/>
      <c r="F13" s="122"/>
    </row>
    <row r="14" spans="1:11" s="128" customFormat="1" ht="25.5">
      <c r="B14" s="252" t="s">
        <v>0</v>
      </c>
      <c r="C14" s="233" t="s">
        <v>6</v>
      </c>
      <c r="D14" s="233" t="s">
        <v>1</v>
      </c>
      <c r="E14" s="233" t="s">
        <v>7</v>
      </c>
      <c r="F14" s="233" t="s">
        <v>65</v>
      </c>
      <c r="G14" s="233" t="s">
        <v>8</v>
      </c>
    </row>
    <row r="15" spans="1:11" s="129" customFormat="1">
      <c r="B15" s="262" t="s">
        <v>9</v>
      </c>
      <c r="C15" s="263">
        <v>166</v>
      </c>
      <c r="D15" s="54">
        <f t="shared" ref="D15:D25" si="0">SUM(C15/$C$15)</f>
        <v>1</v>
      </c>
      <c r="E15" s="263">
        <v>180</v>
      </c>
      <c r="F15" s="55">
        <f>(Table47911131572125775[[#This Row],[Persons]]-Table47911131572125775[[#This Row],[2011 Census]])</f>
        <v>-14</v>
      </c>
      <c r="G15" s="54">
        <f>IFERROR(Table47911131572125775[[#This Row],[Change 2011-2016]]/Table47911131572125775[[#This Row],[2011 Census]],"..")</f>
        <v>-7.7777777777777779E-2</v>
      </c>
    </row>
    <row r="16" spans="1:11" s="129" customFormat="1">
      <c r="B16" s="262" t="s">
        <v>2</v>
      </c>
      <c r="C16" s="263">
        <v>166</v>
      </c>
      <c r="D16" s="54">
        <f t="shared" si="0"/>
        <v>1</v>
      </c>
      <c r="E16" s="264">
        <v>180</v>
      </c>
      <c r="F16" s="55">
        <f>(Table47911131572125775[[#This Row],[Persons]]-Table47911131572125775[[#This Row],[2011 Census]])</f>
        <v>-14</v>
      </c>
      <c r="G16" s="54">
        <f>IFERROR(Table47911131572125775[[#This Row],[Change 2011-2016]]/Table47911131572125775[[#This Row],[2011 Census]],"..")</f>
        <v>-7.7777777777777779E-2</v>
      </c>
    </row>
    <row r="17" spans="2:10" s="129" customFormat="1">
      <c r="B17" s="262" t="s">
        <v>362</v>
      </c>
      <c r="C17" s="263">
        <v>0</v>
      </c>
      <c r="D17" s="54">
        <f t="shared" si="0"/>
        <v>0</v>
      </c>
      <c r="E17" s="264">
        <v>0</v>
      </c>
      <c r="F17" s="55">
        <f>(Table47911131572125775[[#This Row],[Persons]]-Table47911131572125775[[#This Row],[2011 Census]])</f>
        <v>0</v>
      </c>
      <c r="G17" s="54" t="str">
        <f>IFERROR(Table47911131572125775[[#This Row],[Change 2011-2016]]/Table47911131572125775[[#This Row],[2011 Census]],"..")</f>
        <v>..</v>
      </c>
    </row>
    <row r="18" spans="2:10" s="129" customFormat="1">
      <c r="B18" s="262" t="s">
        <v>3</v>
      </c>
      <c r="C18" s="263">
        <v>0</v>
      </c>
      <c r="D18" s="54">
        <f t="shared" si="0"/>
        <v>0</v>
      </c>
      <c r="E18" s="264">
        <v>0</v>
      </c>
      <c r="F18" s="55">
        <f>(Table47911131572125775[[#This Row],[Persons]]-Table47911131572125775[[#This Row],[2011 Census]])</f>
        <v>0</v>
      </c>
      <c r="G18" s="54" t="str">
        <f>IFERROR(Table47911131572125775[[#This Row],[Change 2011-2016]]/Table47911131572125775[[#This Row],[2011 Census]],"..")</f>
        <v>..</v>
      </c>
    </row>
    <row r="19" spans="2:10" s="129" customFormat="1">
      <c r="B19" s="262" t="s">
        <v>4</v>
      </c>
      <c r="C19" s="263">
        <v>0</v>
      </c>
      <c r="D19" s="54">
        <f t="shared" si="0"/>
        <v>0</v>
      </c>
      <c r="E19" s="264">
        <v>0</v>
      </c>
      <c r="F19" s="55">
        <f>(Table47911131572125775[[#This Row],[Persons]]-Table47911131572125775[[#This Row],[2011 Census]])</f>
        <v>0</v>
      </c>
      <c r="G19" s="54" t="str">
        <f>IFERROR(Table47911131572125775[[#This Row],[Change 2011-2016]]/Table47911131572125775[[#This Row],[2011 Census]],"..")</f>
        <v>..</v>
      </c>
    </row>
    <row r="20" spans="2:10" s="129" customFormat="1">
      <c r="B20" s="262" t="s">
        <v>5</v>
      </c>
      <c r="C20" s="263">
        <v>0</v>
      </c>
      <c r="D20" s="54">
        <f t="shared" si="0"/>
        <v>0</v>
      </c>
      <c r="E20" s="264">
        <v>0</v>
      </c>
      <c r="F20" s="55">
        <f>(Table47911131572125775[[#This Row],[Persons]]-Table47911131572125775[[#This Row],[2011 Census]])</f>
        <v>0</v>
      </c>
      <c r="G20" s="54" t="str">
        <f>IFERROR(Table47911131572125775[[#This Row],[Change 2011-2016]]/Table47911131572125775[[#This Row],[2011 Census]],"..")</f>
        <v>..</v>
      </c>
    </row>
    <row r="21" spans="2:10" s="129" customFormat="1">
      <c r="B21" s="262" t="s">
        <v>11</v>
      </c>
      <c r="C21" s="263">
        <v>0</v>
      </c>
      <c r="D21" s="54">
        <f t="shared" si="0"/>
        <v>0</v>
      </c>
      <c r="E21" s="264">
        <v>0</v>
      </c>
      <c r="F21" s="55">
        <f>(Table47911131572125775[[#This Row],[Persons]]-Table47911131572125775[[#This Row],[2011 Census]])</f>
        <v>0</v>
      </c>
      <c r="G21" s="54" t="str">
        <f>IFERROR(Table47911131572125775[[#This Row],[Change 2011-2016]]/Table47911131572125775[[#This Row],[2011 Census]],"..")</f>
        <v>..</v>
      </c>
    </row>
    <row r="22" spans="2:10" s="129" customFormat="1">
      <c r="B22" s="262" t="s">
        <v>12</v>
      </c>
      <c r="C22" s="263">
        <v>160</v>
      </c>
      <c r="D22" s="54">
        <f t="shared" si="0"/>
        <v>0.96385542168674698</v>
      </c>
      <c r="E22" s="264">
        <v>173</v>
      </c>
      <c r="F22" s="55">
        <f>(Table47911131572125775[[#This Row],[Persons]]-Table47911131572125775[[#This Row],[2011 Census]])</f>
        <v>-13</v>
      </c>
      <c r="G22" s="54">
        <f>IFERROR(Table47911131572125775[[#This Row],[Change 2011-2016]]/Table47911131572125775[[#This Row],[2011 Census]],"..")</f>
        <v>-7.5144508670520235E-2</v>
      </c>
    </row>
    <row r="23" spans="2:10" s="129" customFormat="1">
      <c r="B23" s="262" t="s">
        <v>13</v>
      </c>
      <c r="C23" s="263">
        <v>136</v>
      </c>
      <c r="D23" s="54">
        <f t="shared" si="0"/>
        <v>0.81927710843373491</v>
      </c>
      <c r="E23" s="264">
        <v>18</v>
      </c>
      <c r="F23" s="55">
        <f>(Table47911131572125775[[#This Row],[Persons]]-Table47911131572125775[[#This Row],[2011 Census]])</f>
        <v>118</v>
      </c>
      <c r="G23" s="54">
        <f>IFERROR(Table47911131572125775[[#This Row],[Change 2011-2016]]/Table47911131572125775[[#This Row],[2011 Census]],"..")</f>
        <v>6.5555555555555554</v>
      </c>
    </row>
    <row r="24" spans="2:10" s="129" customFormat="1">
      <c r="B24" s="262" t="s">
        <v>869</v>
      </c>
      <c r="C24" s="263">
        <v>0</v>
      </c>
      <c r="D24" s="54">
        <f t="shared" si="0"/>
        <v>0</v>
      </c>
      <c r="E24" s="264">
        <v>0</v>
      </c>
      <c r="F24" s="55">
        <f>(Table47911131572125775[[#This Row],[Persons]]-Table47911131572125775[[#This Row],[2011 Census]])</f>
        <v>0</v>
      </c>
      <c r="G24" s="54" t="str">
        <f>IFERROR(Table47911131572125775[[#This Row],[Change 2011-2016]]/Table47911131572125775[[#This Row],[2011 Census]],"..")</f>
        <v>..</v>
      </c>
    </row>
    <row r="25" spans="2:10" s="129" customFormat="1">
      <c r="B25" s="262" t="s">
        <v>870</v>
      </c>
      <c r="C25" s="55">
        <v>0</v>
      </c>
      <c r="D25" s="54">
        <f t="shared" si="0"/>
        <v>0</v>
      </c>
      <c r="E25" s="512">
        <v>0</v>
      </c>
      <c r="F25" s="55">
        <f>(Table47911131572125775[[#This Row],[Persons]]-Table47911131572125775[[#This Row],[2011 Census]])</f>
        <v>0</v>
      </c>
      <c r="G25" s="54" t="str">
        <f>IFERROR(Table47911131572125775[[#This Row],[Change 2011-2016]]/Table47911131572125775[[#This Row],[2011 Census]],"..")</f>
        <v>..</v>
      </c>
    </row>
    <row r="26" spans="2:10" s="129" customFormat="1">
      <c r="B26" s="349" t="s">
        <v>366</v>
      </c>
    </row>
    <row r="27" spans="2:10" s="129" customFormat="1"/>
    <row r="28" spans="2:10" s="129" customFormat="1" ht="23.25">
      <c r="B28" s="127" t="s">
        <v>664</v>
      </c>
    </row>
    <row r="29" spans="2:10" s="129" customFormat="1" ht="15.75">
      <c r="B29" s="133" t="s">
        <v>333</v>
      </c>
    </row>
    <row r="30" spans="2:10" s="128" customFormat="1" ht="25.5">
      <c r="B30" s="252" t="s">
        <v>14</v>
      </c>
      <c r="C30" s="252" t="s">
        <v>15</v>
      </c>
      <c r="D30" s="252" t="s">
        <v>16</v>
      </c>
      <c r="E30" s="252" t="s">
        <v>17</v>
      </c>
      <c r="F30" s="252" t="s">
        <v>18</v>
      </c>
      <c r="G30" s="252" t="s">
        <v>19</v>
      </c>
      <c r="H30" s="252" t="s">
        <v>20</v>
      </c>
      <c r="I30" s="1240"/>
      <c r="J30" s="1240"/>
    </row>
    <row r="31" spans="2:10" s="129" customFormat="1">
      <c r="B31" s="578" t="s">
        <v>94</v>
      </c>
      <c r="C31" s="579" t="s">
        <v>94</v>
      </c>
      <c r="D31" s="579" t="s">
        <v>94</v>
      </c>
      <c r="E31" s="579" t="s">
        <v>94</v>
      </c>
      <c r="F31" s="580" t="str">
        <f>IFERROR((Table552024674[[#This Row],[Persons 2016]]/$C$17),"..")</f>
        <v>..</v>
      </c>
      <c r="G31" s="581" t="s">
        <v>94</v>
      </c>
      <c r="H31" s="580" t="str">
        <f>IFERROR((Table552024674[[#This Row],[Persons 2016]]-Table552024674[[#This Row],[Persons 2011]])/Table552024674[[#This Row],[Persons 2011]],"..")</f>
        <v>..</v>
      </c>
      <c r="I31" s="1236"/>
      <c r="J31" s="1236"/>
    </row>
    <row r="32" spans="2:10" s="129" customFormat="1">
      <c r="B32" s="322" t="s">
        <v>94</v>
      </c>
      <c r="C32" s="60" t="s">
        <v>94</v>
      </c>
      <c r="D32" s="60" t="s">
        <v>94</v>
      </c>
      <c r="E32" s="60" t="s">
        <v>94</v>
      </c>
      <c r="F32" s="59" t="str">
        <f>IFERROR((Table552024674[[#This Row],[Persons 2016]]/$C$17),"..")</f>
        <v>..</v>
      </c>
      <c r="G32" s="582" t="s">
        <v>94</v>
      </c>
      <c r="H32" s="59" t="str">
        <f>IFERROR((Table552024674[[#This Row],[Persons 2016]]-Table552024674[[#This Row],[Persons 2011]])/Table552024674[[#This Row],[Persons 2011]],"..")</f>
        <v>..</v>
      </c>
      <c r="I32" s="1236"/>
      <c r="J32" s="1236"/>
    </row>
    <row r="33" spans="2:10" s="129" customFormat="1">
      <c r="B33" s="322" t="s">
        <v>94</v>
      </c>
      <c r="C33" s="60" t="s">
        <v>94</v>
      </c>
      <c r="D33" s="60" t="s">
        <v>94</v>
      </c>
      <c r="E33" s="60" t="s">
        <v>94</v>
      </c>
      <c r="F33" s="59" t="str">
        <f>IFERROR((Table552024674[[#This Row],[Persons 2016]]/$C$17),"..")</f>
        <v>..</v>
      </c>
      <c r="G33" s="582" t="s">
        <v>94</v>
      </c>
      <c r="H33" s="59" t="str">
        <f>IFERROR((Table552024674[[#This Row],[Persons 2016]]-Table552024674[[#This Row],[Persons 2011]])/Table552024674[[#This Row],[Persons 2011]],"..")</f>
        <v>..</v>
      </c>
      <c r="I33" s="1236"/>
      <c r="J33" s="1236"/>
    </row>
    <row r="34" spans="2:10" s="129" customFormat="1">
      <c r="B34" s="322" t="s">
        <v>94</v>
      </c>
      <c r="C34" s="60" t="s">
        <v>94</v>
      </c>
      <c r="D34" s="60" t="s">
        <v>94</v>
      </c>
      <c r="E34" s="60" t="s">
        <v>94</v>
      </c>
      <c r="F34" s="59" t="str">
        <f>IFERROR((Table552024674[[#This Row],[Persons 2016]]/$C$17),"..")</f>
        <v>..</v>
      </c>
      <c r="G34" s="582" t="s">
        <v>94</v>
      </c>
      <c r="H34" s="59" t="str">
        <f>IFERROR((Table552024674[[#This Row],[Persons 2016]]-Table552024674[[#This Row],[Persons 2011]])/Table552024674[[#This Row],[Persons 2011]],"..")</f>
        <v>..</v>
      </c>
      <c r="I34" s="1236"/>
      <c r="J34" s="1236"/>
    </row>
    <row r="35" spans="2:10" s="129" customFormat="1">
      <c r="B35" s="322" t="s">
        <v>94</v>
      </c>
      <c r="C35" s="60" t="s">
        <v>94</v>
      </c>
      <c r="D35" s="60" t="s">
        <v>94</v>
      </c>
      <c r="E35" s="60" t="s">
        <v>94</v>
      </c>
      <c r="F35" s="59" t="str">
        <f>IFERROR((Table552024674[[#This Row],[Persons 2016]]/$C$17),"..")</f>
        <v>..</v>
      </c>
      <c r="G35" s="582" t="s">
        <v>94</v>
      </c>
      <c r="H35" s="59" t="str">
        <f>IFERROR((Table552024674[[#This Row],[Persons 2016]]-Table552024674[[#This Row],[Persons 2011]])/Table552024674[[#This Row],[Persons 2011]],"..")</f>
        <v>..</v>
      </c>
      <c r="I35" s="1236"/>
      <c r="J35" s="1236"/>
    </row>
    <row r="36" spans="2:10" s="129" customFormat="1">
      <c r="B36" s="322" t="s">
        <v>94</v>
      </c>
      <c r="C36" s="60" t="s">
        <v>94</v>
      </c>
      <c r="D36" s="60" t="s">
        <v>94</v>
      </c>
      <c r="E36" s="60" t="s">
        <v>94</v>
      </c>
      <c r="F36" s="59" t="str">
        <f>IFERROR((Table552024674[[#This Row],[Persons 2016]]/$C$17),"..")</f>
        <v>..</v>
      </c>
      <c r="G36" s="582" t="s">
        <v>94</v>
      </c>
      <c r="H36" s="59" t="str">
        <f>IFERROR((Table552024674[[#This Row],[Persons 2016]]-Table552024674[[#This Row],[Persons 2011]])/Table552024674[[#This Row],[Persons 2011]],"..")</f>
        <v>..</v>
      </c>
      <c r="I36" s="1236"/>
      <c r="J36" s="1236"/>
    </row>
    <row r="37" spans="2:10" s="129" customFormat="1">
      <c r="B37" s="322" t="s">
        <v>94</v>
      </c>
      <c r="C37" s="60" t="s">
        <v>94</v>
      </c>
      <c r="D37" s="60" t="s">
        <v>94</v>
      </c>
      <c r="E37" s="60" t="s">
        <v>94</v>
      </c>
      <c r="F37" s="59" t="str">
        <f>IFERROR((Table552024674[[#This Row],[Persons 2016]]/$C$17),"..")</f>
        <v>..</v>
      </c>
      <c r="G37" s="582" t="s">
        <v>94</v>
      </c>
      <c r="H37" s="59" t="str">
        <f>IFERROR((Table552024674[[#This Row],[Persons 2016]]-Table552024674[[#This Row],[Persons 2011]])/Table552024674[[#This Row],[Persons 2011]],"..")</f>
        <v>..</v>
      </c>
      <c r="I37" s="1236"/>
      <c r="J37" s="1236"/>
    </row>
    <row r="38" spans="2:10" s="129" customFormat="1">
      <c r="B38" s="322" t="s">
        <v>94</v>
      </c>
      <c r="C38" s="60" t="s">
        <v>94</v>
      </c>
      <c r="D38" s="60" t="s">
        <v>94</v>
      </c>
      <c r="E38" s="60" t="s">
        <v>94</v>
      </c>
      <c r="F38" s="59" t="str">
        <f>IFERROR((Table552024674[[#This Row],[Persons 2016]]/$C$17),"..")</f>
        <v>..</v>
      </c>
      <c r="G38" s="582" t="s">
        <v>94</v>
      </c>
      <c r="H38" s="59" t="str">
        <f>IFERROR((Table552024674[[#This Row],[Persons 2016]]-Table552024674[[#This Row],[Persons 2011]])/Table552024674[[#This Row],[Persons 2011]],"..")</f>
        <v>..</v>
      </c>
      <c r="I38" s="1236"/>
      <c r="J38" s="1236"/>
    </row>
    <row r="39" spans="2:10">
      <c r="B39" s="322" t="s">
        <v>94</v>
      </c>
      <c r="C39" s="60" t="s">
        <v>94</v>
      </c>
      <c r="D39" s="60" t="s">
        <v>94</v>
      </c>
      <c r="E39" s="60" t="s">
        <v>94</v>
      </c>
      <c r="F39" s="59" t="str">
        <f>IFERROR((Table552024674[[#This Row],[Persons 2016]]/$C$17),"..")</f>
        <v>..</v>
      </c>
      <c r="G39" s="582" t="s">
        <v>94</v>
      </c>
      <c r="H39" s="59" t="str">
        <f>IFERROR((Table552024674[[#This Row],[Persons 2016]]-Table552024674[[#This Row],[Persons 2011]])/Table552024674[[#This Row],[Persons 2011]],"..")</f>
        <v>..</v>
      </c>
      <c r="I39" s="1237"/>
      <c r="J39" s="1237"/>
    </row>
    <row r="40" spans="2:10">
      <c r="B40" s="322" t="s">
        <v>94</v>
      </c>
      <c r="C40" s="60" t="s">
        <v>94</v>
      </c>
      <c r="D40" s="60" t="s">
        <v>94</v>
      </c>
      <c r="E40" s="60" t="s">
        <v>94</v>
      </c>
      <c r="F40" s="59" t="str">
        <f>IFERROR((Table552024674[[#This Row],[Persons 2016]]/$C$17),"..")</f>
        <v>..</v>
      </c>
      <c r="G40" s="582" t="s">
        <v>94</v>
      </c>
      <c r="H40" s="59" t="str">
        <f>IFERROR((Table552024674[[#This Row],[Persons 2016]]-Table552024674[[#This Row],[Persons 2011]])/Table552024674[[#This Row],[Persons 2011]],"..")</f>
        <v>..</v>
      </c>
      <c r="I40" s="1237"/>
      <c r="J40" s="1237"/>
    </row>
    <row r="41" spans="2:10">
      <c r="B41" s="520" t="s">
        <v>369</v>
      </c>
      <c r="C41" s="60" t="s">
        <v>94</v>
      </c>
      <c r="D41" s="60" t="s">
        <v>94</v>
      </c>
      <c r="E41" s="60" t="s">
        <v>94</v>
      </c>
      <c r="F41" s="289" t="str">
        <f>IFERROR((Table552024674[[#This Row],[Persons 2016]]/$C$17),"..")</f>
        <v>..</v>
      </c>
      <c r="G41" s="583" t="s">
        <v>94</v>
      </c>
      <c r="H41" s="289" t="str">
        <f>IFERROR((Table552024674[[#This Row],[Persons 2016]]-Table552024674[[#This Row],[Persons 2011]])/Table552024674[[#This Row],[Persons 2011]],"..")</f>
        <v>..</v>
      </c>
      <c r="I41" s="1237"/>
      <c r="J41" s="1237"/>
    </row>
    <row r="42" spans="2:10">
      <c r="B42" s="522" t="s">
        <v>21</v>
      </c>
      <c r="C42" s="584" t="s">
        <v>94</v>
      </c>
      <c r="D42" s="584" t="s">
        <v>94</v>
      </c>
      <c r="E42" s="585" t="s">
        <v>94</v>
      </c>
      <c r="F42" s="586" t="str">
        <f>IFERROR((Table552024674[[#This Row],[Persons 2016]]/$C$17),"..")</f>
        <v>..</v>
      </c>
      <c r="G42" s="587" t="s">
        <v>94</v>
      </c>
      <c r="H42" s="586" t="str">
        <f>IFERROR((Table552024674[[#This Row],[Persons 2016]]-Table552024674[[#This Row],[Persons 2011]])/Table552024674[[#This Row],[Persons 2011]],"..")</f>
        <v>..</v>
      </c>
      <c r="I42" s="1239"/>
      <c r="J42" s="1239"/>
    </row>
    <row r="43" spans="2:10" s="129" customFormat="1">
      <c r="B43" s="349" t="s">
        <v>366</v>
      </c>
    </row>
    <row r="44" spans="2:10" s="129" customFormat="1">
      <c r="B44" s="349"/>
    </row>
    <row r="45" spans="2:10" ht="23.25">
      <c r="B45" s="127" t="s">
        <v>434</v>
      </c>
    </row>
    <row r="46" spans="2:10" ht="15.75">
      <c r="B46" s="138" t="s">
        <v>832</v>
      </c>
    </row>
    <row r="47" spans="2:10">
      <c r="B47" s="118" t="s">
        <v>871</v>
      </c>
    </row>
    <row r="48" spans="2:10">
      <c r="B48" s="266" t="s">
        <v>14</v>
      </c>
      <c r="C48" s="139" t="s">
        <v>23</v>
      </c>
      <c r="D48" s="139" t="s">
        <v>24</v>
      </c>
      <c r="E48" s="139" t="s">
        <v>25</v>
      </c>
      <c r="F48" s="139" t="s">
        <v>26</v>
      </c>
      <c r="G48" s="139" t="s">
        <v>27</v>
      </c>
      <c r="H48" s="267" t="s">
        <v>28</v>
      </c>
    </row>
    <row r="49" spans="2:8">
      <c r="B49" s="268" t="s">
        <v>94</v>
      </c>
      <c r="C49" s="528" t="s">
        <v>94</v>
      </c>
      <c r="D49" s="528" t="s">
        <v>94</v>
      </c>
      <c r="E49" s="528" t="s">
        <v>94</v>
      </c>
      <c r="F49" s="588" t="s">
        <v>94</v>
      </c>
      <c r="G49" s="528" t="s">
        <v>94</v>
      </c>
      <c r="H49" s="589" t="s">
        <v>94</v>
      </c>
    </row>
    <row r="50" spans="2:8">
      <c r="B50" s="271" t="s">
        <v>94</v>
      </c>
      <c r="C50" s="531" t="s">
        <v>94</v>
      </c>
      <c r="D50" s="531" t="s">
        <v>94</v>
      </c>
      <c r="E50" s="531" t="s">
        <v>94</v>
      </c>
      <c r="F50" s="590" t="s">
        <v>94</v>
      </c>
      <c r="G50" s="531" t="s">
        <v>94</v>
      </c>
      <c r="H50" s="591" t="s">
        <v>94</v>
      </c>
    </row>
    <row r="51" spans="2:8">
      <c r="B51" s="274" t="s">
        <v>94</v>
      </c>
      <c r="C51" s="528" t="s">
        <v>94</v>
      </c>
      <c r="D51" s="528" t="s">
        <v>94</v>
      </c>
      <c r="E51" s="528" t="s">
        <v>94</v>
      </c>
      <c r="F51" s="588" t="s">
        <v>94</v>
      </c>
      <c r="G51" s="528" t="s">
        <v>94</v>
      </c>
      <c r="H51" s="592" t="s">
        <v>94</v>
      </c>
    </row>
    <row r="52" spans="2:8">
      <c r="B52" s="276" t="s">
        <v>94</v>
      </c>
      <c r="C52" s="531" t="s">
        <v>94</v>
      </c>
      <c r="D52" s="531" t="s">
        <v>94</v>
      </c>
      <c r="E52" s="531" t="s">
        <v>94</v>
      </c>
      <c r="F52" s="590" t="s">
        <v>94</v>
      </c>
      <c r="G52" s="531" t="s">
        <v>94</v>
      </c>
      <c r="H52" s="591" t="s">
        <v>94</v>
      </c>
    </row>
    <row r="53" spans="2:8">
      <c r="B53" s="268" t="s">
        <v>94</v>
      </c>
      <c r="C53" s="528" t="s">
        <v>94</v>
      </c>
      <c r="D53" s="528" t="s">
        <v>94</v>
      </c>
      <c r="E53" s="528" t="s">
        <v>94</v>
      </c>
      <c r="F53" s="588" t="s">
        <v>94</v>
      </c>
      <c r="G53" s="528" t="s">
        <v>94</v>
      </c>
      <c r="H53" s="592" t="s">
        <v>94</v>
      </c>
    </row>
    <row r="54" spans="2:8">
      <c r="B54" s="271" t="s">
        <v>94</v>
      </c>
      <c r="C54" s="531" t="s">
        <v>94</v>
      </c>
      <c r="D54" s="531" t="s">
        <v>94</v>
      </c>
      <c r="E54" s="531" t="s">
        <v>94</v>
      </c>
      <c r="F54" s="590" t="s">
        <v>94</v>
      </c>
      <c r="G54" s="531" t="s">
        <v>94</v>
      </c>
      <c r="H54" s="591" t="s">
        <v>94</v>
      </c>
    </row>
    <row r="55" spans="2:8">
      <c r="B55" s="268" t="s">
        <v>94</v>
      </c>
      <c r="C55" s="528" t="s">
        <v>94</v>
      </c>
      <c r="D55" s="528" t="s">
        <v>94</v>
      </c>
      <c r="E55" s="528" t="s">
        <v>94</v>
      </c>
      <c r="F55" s="588" t="s">
        <v>94</v>
      </c>
      <c r="G55" s="528" t="s">
        <v>94</v>
      </c>
      <c r="H55" s="592" t="s">
        <v>94</v>
      </c>
    </row>
    <row r="56" spans="2:8">
      <c r="B56" s="271" t="s">
        <v>94</v>
      </c>
      <c r="C56" s="531" t="s">
        <v>94</v>
      </c>
      <c r="D56" s="531" t="s">
        <v>94</v>
      </c>
      <c r="E56" s="531" t="s">
        <v>94</v>
      </c>
      <c r="F56" s="590" t="s">
        <v>94</v>
      </c>
      <c r="G56" s="531" t="s">
        <v>94</v>
      </c>
      <c r="H56" s="591" t="s">
        <v>94</v>
      </c>
    </row>
    <row r="57" spans="2:8">
      <c r="B57" s="268" t="s">
        <v>94</v>
      </c>
      <c r="C57" s="528" t="s">
        <v>94</v>
      </c>
      <c r="D57" s="528" t="s">
        <v>94</v>
      </c>
      <c r="E57" s="528" t="s">
        <v>94</v>
      </c>
      <c r="F57" s="588" t="s">
        <v>94</v>
      </c>
      <c r="G57" s="528" t="s">
        <v>94</v>
      </c>
      <c r="H57" s="592" t="s">
        <v>94</v>
      </c>
    </row>
    <row r="58" spans="2:8">
      <c r="B58" s="276" t="s">
        <v>94</v>
      </c>
      <c r="C58" s="531" t="s">
        <v>94</v>
      </c>
      <c r="D58" s="531" t="s">
        <v>94</v>
      </c>
      <c r="E58" s="531" t="s">
        <v>94</v>
      </c>
      <c r="F58" s="590" t="s">
        <v>94</v>
      </c>
      <c r="G58" s="531" t="s">
        <v>94</v>
      </c>
      <c r="H58" s="591" t="s">
        <v>94</v>
      </c>
    </row>
    <row r="59" spans="2:8">
      <c r="B59" s="277" t="s">
        <v>29</v>
      </c>
      <c r="C59" s="141">
        <v>38</v>
      </c>
      <c r="D59" s="141">
        <v>40</v>
      </c>
      <c r="E59" s="141">
        <v>48</v>
      </c>
      <c r="F59" s="141">
        <v>42</v>
      </c>
      <c r="G59" s="141">
        <v>7</v>
      </c>
      <c r="H59" s="278">
        <v>166</v>
      </c>
    </row>
    <row r="60" spans="2:8">
      <c r="B60" s="279" t="s">
        <v>30</v>
      </c>
      <c r="C60" s="142" t="s">
        <v>94</v>
      </c>
      <c r="D60" s="142" t="s">
        <v>94</v>
      </c>
      <c r="E60" s="142" t="s">
        <v>94</v>
      </c>
      <c r="F60" s="142" t="s">
        <v>94</v>
      </c>
      <c r="G60" s="593" t="s">
        <v>94</v>
      </c>
      <c r="H60" s="280" t="s">
        <v>94</v>
      </c>
    </row>
    <row r="61" spans="2:8">
      <c r="B61" s="281" t="s">
        <v>31</v>
      </c>
      <c r="C61" s="282" t="s">
        <v>94</v>
      </c>
      <c r="D61" s="282" t="s">
        <v>94</v>
      </c>
      <c r="E61" s="282" t="s">
        <v>94</v>
      </c>
      <c r="F61" s="282" t="s">
        <v>94</v>
      </c>
      <c r="G61" s="282" t="s">
        <v>94</v>
      </c>
      <c r="H61" s="283" t="s">
        <v>94</v>
      </c>
    </row>
    <row r="63" spans="2:8" ht="23.25">
      <c r="B63" s="127" t="s">
        <v>435</v>
      </c>
    </row>
    <row r="64" spans="2:8" ht="15.75">
      <c r="B64" s="138" t="s">
        <v>833</v>
      </c>
    </row>
    <row r="65" spans="2:8">
      <c r="B65" s="118" t="s">
        <v>843</v>
      </c>
    </row>
    <row r="66" spans="2:8">
      <c r="B66" s="151" t="s">
        <v>14</v>
      </c>
      <c r="C66" s="526" t="s">
        <v>23</v>
      </c>
      <c r="D66" s="526" t="s">
        <v>24</v>
      </c>
      <c r="E66" s="526" t="s">
        <v>25</v>
      </c>
      <c r="F66" s="526" t="s">
        <v>26</v>
      </c>
      <c r="G66" s="526" t="s">
        <v>27</v>
      </c>
      <c r="H66" s="544" t="s">
        <v>28</v>
      </c>
    </row>
    <row r="67" spans="2:8">
      <c r="B67" s="191" t="str">
        <f t="shared" ref="B67:B76" si="1">B49</f>
        <v>..</v>
      </c>
      <c r="C67" s="528" t="s">
        <v>94</v>
      </c>
      <c r="D67" s="528" t="s">
        <v>94</v>
      </c>
      <c r="E67" s="528" t="s">
        <v>94</v>
      </c>
      <c r="F67" s="588" t="s">
        <v>94</v>
      </c>
      <c r="G67" s="528" t="s">
        <v>94</v>
      </c>
      <c r="H67" s="594" t="s">
        <v>94</v>
      </c>
    </row>
    <row r="68" spans="2:8">
      <c r="B68" s="188" t="str">
        <f t="shared" si="1"/>
        <v>..</v>
      </c>
      <c r="C68" s="531" t="s">
        <v>94</v>
      </c>
      <c r="D68" s="531" t="s">
        <v>94</v>
      </c>
      <c r="E68" s="531" t="s">
        <v>94</v>
      </c>
      <c r="F68" s="590" t="s">
        <v>94</v>
      </c>
      <c r="G68" s="531" t="s">
        <v>94</v>
      </c>
      <c r="H68" s="595" t="s">
        <v>94</v>
      </c>
    </row>
    <row r="69" spans="2:8">
      <c r="B69" s="191" t="str">
        <f t="shared" si="1"/>
        <v>..</v>
      </c>
      <c r="C69" s="528" t="s">
        <v>94</v>
      </c>
      <c r="D69" s="528" t="s">
        <v>94</v>
      </c>
      <c r="E69" s="528" t="s">
        <v>94</v>
      </c>
      <c r="F69" s="588" t="s">
        <v>94</v>
      </c>
      <c r="G69" s="528" t="s">
        <v>94</v>
      </c>
      <c r="H69" s="596" t="s">
        <v>94</v>
      </c>
    </row>
    <row r="70" spans="2:8">
      <c r="B70" s="188" t="str">
        <f t="shared" si="1"/>
        <v>..</v>
      </c>
      <c r="C70" s="531" t="s">
        <v>94</v>
      </c>
      <c r="D70" s="531" t="s">
        <v>94</v>
      </c>
      <c r="E70" s="531" t="s">
        <v>94</v>
      </c>
      <c r="F70" s="590" t="s">
        <v>94</v>
      </c>
      <c r="G70" s="531" t="s">
        <v>94</v>
      </c>
      <c r="H70" s="595" t="s">
        <v>94</v>
      </c>
    </row>
    <row r="71" spans="2:8">
      <c r="B71" s="191" t="str">
        <f t="shared" si="1"/>
        <v>..</v>
      </c>
      <c r="C71" s="528" t="s">
        <v>94</v>
      </c>
      <c r="D71" s="528" t="s">
        <v>94</v>
      </c>
      <c r="E71" s="528" t="s">
        <v>94</v>
      </c>
      <c r="F71" s="588" t="s">
        <v>94</v>
      </c>
      <c r="G71" s="528" t="s">
        <v>94</v>
      </c>
      <c r="H71" s="596" t="s">
        <v>94</v>
      </c>
    </row>
    <row r="72" spans="2:8">
      <c r="B72" s="188" t="str">
        <f t="shared" si="1"/>
        <v>..</v>
      </c>
      <c r="C72" s="531" t="s">
        <v>94</v>
      </c>
      <c r="D72" s="531" t="s">
        <v>94</v>
      </c>
      <c r="E72" s="531" t="s">
        <v>94</v>
      </c>
      <c r="F72" s="590" t="s">
        <v>94</v>
      </c>
      <c r="G72" s="531" t="s">
        <v>94</v>
      </c>
      <c r="H72" s="595" t="s">
        <v>94</v>
      </c>
    </row>
    <row r="73" spans="2:8">
      <c r="B73" s="191" t="str">
        <f t="shared" si="1"/>
        <v>..</v>
      </c>
      <c r="C73" s="528" t="s">
        <v>94</v>
      </c>
      <c r="D73" s="528" t="s">
        <v>94</v>
      </c>
      <c r="E73" s="528" t="s">
        <v>94</v>
      </c>
      <c r="F73" s="588" t="s">
        <v>94</v>
      </c>
      <c r="G73" s="528" t="s">
        <v>94</v>
      </c>
      <c r="H73" s="596" t="s">
        <v>94</v>
      </c>
    </row>
    <row r="74" spans="2:8">
      <c r="B74" s="188" t="str">
        <f t="shared" si="1"/>
        <v>..</v>
      </c>
      <c r="C74" s="531" t="s">
        <v>94</v>
      </c>
      <c r="D74" s="531" t="s">
        <v>94</v>
      </c>
      <c r="E74" s="531" t="s">
        <v>94</v>
      </c>
      <c r="F74" s="590" t="s">
        <v>94</v>
      </c>
      <c r="G74" s="531" t="s">
        <v>94</v>
      </c>
      <c r="H74" s="595" t="s">
        <v>94</v>
      </c>
    </row>
    <row r="75" spans="2:8">
      <c r="B75" s="191" t="str">
        <f t="shared" si="1"/>
        <v>..</v>
      </c>
      <c r="C75" s="528" t="s">
        <v>94</v>
      </c>
      <c r="D75" s="528" t="s">
        <v>94</v>
      </c>
      <c r="E75" s="528" t="s">
        <v>94</v>
      </c>
      <c r="F75" s="588" t="s">
        <v>94</v>
      </c>
      <c r="G75" s="528" t="s">
        <v>94</v>
      </c>
      <c r="H75" s="596" t="s">
        <v>94</v>
      </c>
    </row>
    <row r="76" spans="2:8">
      <c r="B76" s="188" t="str">
        <f t="shared" si="1"/>
        <v>..</v>
      </c>
      <c r="C76" s="531" t="s">
        <v>94</v>
      </c>
      <c r="D76" s="531" t="s">
        <v>94</v>
      </c>
      <c r="E76" s="531" t="s">
        <v>94</v>
      </c>
      <c r="F76" s="590" t="s">
        <v>94</v>
      </c>
      <c r="G76" s="531" t="s">
        <v>94</v>
      </c>
      <c r="H76" s="595" t="s">
        <v>94</v>
      </c>
    </row>
    <row r="77" spans="2:8">
      <c r="B77" s="69" t="s">
        <v>29</v>
      </c>
      <c r="C77" s="70">
        <f>SUM(C59/H59)</f>
        <v>0.2289156626506024</v>
      </c>
      <c r="D77" s="70">
        <f>SUM(D59/H59)</f>
        <v>0.24096385542168675</v>
      </c>
      <c r="E77" s="70">
        <f>SUM(E59/H59)</f>
        <v>0.28915662650602408</v>
      </c>
      <c r="F77" s="70">
        <f>SUM(F59/H59)</f>
        <v>0.25301204819277107</v>
      </c>
      <c r="G77" s="70">
        <f>SUM(G59/H59)</f>
        <v>4.2168674698795178E-2</v>
      </c>
      <c r="H77" s="71">
        <f>H59</f>
        <v>166</v>
      </c>
    </row>
    <row r="78" spans="2:8">
      <c r="B78" s="72" t="s">
        <v>30</v>
      </c>
      <c r="C78" s="73" t="str">
        <f t="shared" ref="C78:H79" si="2">IFERROR(C60/H60,"..")</f>
        <v>..</v>
      </c>
      <c r="D78" s="73" t="str">
        <f t="shared" si="2"/>
        <v>..</v>
      </c>
      <c r="E78" s="73" t="str">
        <f t="shared" si="2"/>
        <v>..</v>
      </c>
      <c r="F78" s="73" t="str">
        <f t="shared" si="2"/>
        <v>..</v>
      </c>
      <c r="G78" s="73" t="str">
        <f t="shared" si="2"/>
        <v>..</v>
      </c>
      <c r="H78" s="74" t="str">
        <f t="shared" si="2"/>
        <v>..</v>
      </c>
    </row>
    <row r="79" spans="2:8">
      <c r="B79" s="75" t="s">
        <v>31</v>
      </c>
      <c r="C79" s="597" t="str">
        <f t="shared" si="2"/>
        <v>..</v>
      </c>
      <c r="D79" s="76" t="str">
        <f t="shared" si="2"/>
        <v>..</v>
      </c>
      <c r="E79" s="76" t="str">
        <f t="shared" si="2"/>
        <v>..</v>
      </c>
      <c r="F79" s="76" t="str">
        <f t="shared" si="2"/>
        <v>..</v>
      </c>
      <c r="G79" s="76" t="str">
        <f t="shared" si="2"/>
        <v>..</v>
      </c>
      <c r="H79" s="77" t="str">
        <f t="shared" si="2"/>
        <v>..</v>
      </c>
    </row>
    <row r="81" spans="2:8" s="149" customFormat="1" ht="23.25">
      <c r="B81" s="127" t="s">
        <v>665</v>
      </c>
    </row>
    <row r="82" spans="2:8" s="149" customFormat="1" ht="15.75">
      <c r="B82" s="150" t="s">
        <v>844</v>
      </c>
    </row>
    <row r="83" spans="2:8" s="149" customFormat="1">
      <c r="B83" s="149" t="s">
        <v>887</v>
      </c>
    </row>
    <row r="84" spans="2:8" s="149" customFormat="1">
      <c r="B84" s="151" t="s">
        <v>14</v>
      </c>
      <c r="C84" s="152" t="s">
        <v>32</v>
      </c>
      <c r="D84" s="152" t="s">
        <v>33</v>
      </c>
      <c r="E84" s="152" t="s">
        <v>34</v>
      </c>
      <c r="F84" s="152" t="s">
        <v>35</v>
      </c>
      <c r="G84" s="152">
        <v>2016</v>
      </c>
      <c r="H84" s="153" t="s">
        <v>28</v>
      </c>
    </row>
    <row r="85" spans="2:8" s="149" customFormat="1" ht="10.5" customHeight="1">
      <c r="B85" s="598" t="s">
        <v>94</v>
      </c>
      <c r="C85" s="103" t="s">
        <v>94</v>
      </c>
      <c r="D85" s="103" t="s">
        <v>94</v>
      </c>
      <c r="E85" s="103" t="s">
        <v>94</v>
      </c>
      <c r="F85" s="241" t="s">
        <v>94</v>
      </c>
      <c r="G85" s="103" t="s">
        <v>94</v>
      </c>
      <c r="H85" s="65" t="s">
        <v>94</v>
      </c>
    </row>
    <row r="86" spans="2:8" s="149" customFormat="1">
      <c r="B86" s="599" t="s">
        <v>94</v>
      </c>
      <c r="C86" s="106" t="s">
        <v>94</v>
      </c>
      <c r="D86" s="106" t="s">
        <v>94</v>
      </c>
      <c r="E86" s="106" t="s">
        <v>94</v>
      </c>
      <c r="F86" s="238" t="s">
        <v>94</v>
      </c>
      <c r="G86" s="106" t="s">
        <v>94</v>
      </c>
      <c r="H86" s="67" t="s">
        <v>94</v>
      </c>
    </row>
    <row r="87" spans="2:8" s="149" customFormat="1">
      <c r="B87" s="600" t="s">
        <v>94</v>
      </c>
      <c r="C87" s="103" t="s">
        <v>94</v>
      </c>
      <c r="D87" s="103" t="s">
        <v>94</v>
      </c>
      <c r="E87" s="103" t="s">
        <v>94</v>
      </c>
      <c r="F87" s="241" t="s">
        <v>94</v>
      </c>
      <c r="G87" s="103" t="s">
        <v>94</v>
      </c>
      <c r="H87" s="68" t="s">
        <v>94</v>
      </c>
    </row>
    <row r="88" spans="2:8" s="149" customFormat="1">
      <c r="B88" s="601" t="s">
        <v>94</v>
      </c>
      <c r="C88" s="106" t="s">
        <v>94</v>
      </c>
      <c r="D88" s="106" t="s">
        <v>94</v>
      </c>
      <c r="E88" s="106" t="s">
        <v>94</v>
      </c>
      <c r="F88" s="238" t="s">
        <v>94</v>
      </c>
      <c r="G88" s="106" t="s">
        <v>94</v>
      </c>
      <c r="H88" s="67" t="s">
        <v>94</v>
      </c>
    </row>
    <row r="89" spans="2:8" s="149" customFormat="1" ht="10.5" customHeight="1">
      <c r="B89" s="602" t="s">
        <v>94</v>
      </c>
      <c r="C89" s="103" t="s">
        <v>94</v>
      </c>
      <c r="D89" s="103" t="s">
        <v>94</v>
      </c>
      <c r="E89" s="103" t="s">
        <v>94</v>
      </c>
      <c r="F89" s="241" t="s">
        <v>94</v>
      </c>
      <c r="G89" s="103" t="s">
        <v>94</v>
      </c>
      <c r="H89" s="68" t="s">
        <v>94</v>
      </c>
    </row>
    <row r="90" spans="2:8" s="149" customFormat="1">
      <c r="B90" s="599" t="s">
        <v>94</v>
      </c>
      <c r="C90" s="106" t="s">
        <v>94</v>
      </c>
      <c r="D90" s="106" t="s">
        <v>94</v>
      </c>
      <c r="E90" s="106" t="s">
        <v>94</v>
      </c>
      <c r="F90" s="238" t="s">
        <v>94</v>
      </c>
      <c r="G90" s="106" t="s">
        <v>94</v>
      </c>
      <c r="H90" s="67" t="s">
        <v>94</v>
      </c>
    </row>
    <row r="91" spans="2:8" s="149" customFormat="1">
      <c r="B91" s="600" t="s">
        <v>94</v>
      </c>
      <c r="C91" s="103" t="s">
        <v>94</v>
      </c>
      <c r="D91" s="103" t="s">
        <v>94</v>
      </c>
      <c r="E91" s="103" t="s">
        <v>94</v>
      </c>
      <c r="F91" s="241" t="s">
        <v>94</v>
      </c>
      <c r="G91" s="103" t="s">
        <v>94</v>
      </c>
      <c r="H91" s="68" t="s">
        <v>94</v>
      </c>
    </row>
    <row r="92" spans="2:8" s="149" customFormat="1">
      <c r="B92" s="601" t="s">
        <v>94</v>
      </c>
      <c r="C92" s="106" t="s">
        <v>94</v>
      </c>
      <c r="D92" s="106" t="s">
        <v>94</v>
      </c>
      <c r="E92" s="106" t="s">
        <v>94</v>
      </c>
      <c r="F92" s="238" t="s">
        <v>94</v>
      </c>
      <c r="G92" s="106" t="s">
        <v>94</v>
      </c>
      <c r="H92" s="67" t="s">
        <v>94</v>
      </c>
    </row>
    <row r="93" spans="2:8" s="149" customFormat="1">
      <c r="B93" s="600" t="s">
        <v>94</v>
      </c>
      <c r="C93" s="103" t="s">
        <v>94</v>
      </c>
      <c r="D93" s="103" t="s">
        <v>94</v>
      </c>
      <c r="E93" s="103" t="s">
        <v>94</v>
      </c>
      <c r="F93" s="241" t="s">
        <v>94</v>
      </c>
      <c r="G93" s="103" t="s">
        <v>94</v>
      </c>
      <c r="H93" s="68" t="s">
        <v>94</v>
      </c>
    </row>
    <row r="94" spans="2:8" s="149" customFormat="1">
      <c r="B94" s="601" t="s">
        <v>94</v>
      </c>
      <c r="C94" s="106" t="s">
        <v>94</v>
      </c>
      <c r="D94" s="106" t="s">
        <v>94</v>
      </c>
      <c r="E94" s="106" t="s">
        <v>94</v>
      </c>
      <c r="F94" s="238" t="s">
        <v>94</v>
      </c>
      <c r="G94" s="106" t="s">
        <v>94</v>
      </c>
      <c r="H94" s="67" t="s">
        <v>94</v>
      </c>
    </row>
    <row r="95" spans="2:8" s="149" customFormat="1">
      <c r="B95" s="163" t="s">
        <v>30</v>
      </c>
      <c r="C95" s="163"/>
      <c r="D95" s="163"/>
      <c r="E95" s="163"/>
      <c r="F95" s="163"/>
      <c r="G95" s="164"/>
      <c r="H95" s="165"/>
    </row>
    <row r="96" spans="2:8" s="149" customFormat="1">
      <c r="B96" s="166" t="s">
        <v>31</v>
      </c>
      <c r="C96" s="166"/>
      <c r="D96" s="166"/>
      <c r="E96" s="166"/>
      <c r="F96" s="166"/>
      <c r="G96" s="167"/>
      <c r="H96" s="168"/>
    </row>
    <row r="97" spans="2:20" s="149" customFormat="1" ht="23.25">
      <c r="B97" s="127"/>
    </row>
    <row r="98" spans="2:20" s="149" customFormat="1" ht="23.25">
      <c r="B98" s="127" t="s">
        <v>666</v>
      </c>
    </row>
    <row r="99" spans="2:20" s="149" customFormat="1" ht="15.75">
      <c r="B99" s="150" t="s">
        <v>846</v>
      </c>
    </row>
    <row r="100" spans="2:20" s="149" customFormat="1">
      <c r="B100" s="149" t="s">
        <v>845</v>
      </c>
      <c r="J100" s="169"/>
      <c r="K100" s="170"/>
      <c r="L100" s="170"/>
      <c r="M100" s="170"/>
      <c r="N100" s="170"/>
    </row>
    <row r="101" spans="2:20" s="149" customFormat="1">
      <c r="B101" s="151" t="s">
        <v>14</v>
      </c>
      <c r="C101" s="152" t="s">
        <v>32</v>
      </c>
      <c r="D101" s="152" t="s">
        <v>33</v>
      </c>
      <c r="E101" s="152" t="s">
        <v>34</v>
      </c>
      <c r="F101" s="152" t="s">
        <v>35</v>
      </c>
      <c r="G101" s="152">
        <v>2016</v>
      </c>
      <c r="H101" s="153" t="s">
        <v>28</v>
      </c>
      <c r="J101" s="169"/>
      <c r="K101" s="170"/>
      <c r="L101" s="170"/>
      <c r="M101" s="170"/>
      <c r="N101" s="170"/>
    </row>
    <row r="102" spans="2:20" s="149" customFormat="1">
      <c r="B102" s="63" t="str">
        <f t="shared" ref="B102:B111" si="3">B85</f>
        <v>..</v>
      </c>
      <c r="C102" s="64" t="str">
        <f t="shared" ref="C102:C113" si="4">IFERROR(C85/H85,"..")</f>
        <v>..</v>
      </c>
      <c r="D102" s="64" t="str">
        <f t="shared" ref="D102:D113" si="5">IFERROR(D85/I85,"..")</f>
        <v>..</v>
      </c>
      <c r="E102" s="64" t="str">
        <f t="shared" ref="E102:E113" si="6">IFERROR(E85/J85,"..")</f>
        <v>..</v>
      </c>
      <c r="F102" s="64" t="str">
        <f t="shared" ref="F102:F113" si="7">IFERROR(F85/K85,"..")</f>
        <v>..</v>
      </c>
      <c r="G102" s="64" t="str">
        <f t="shared" ref="G102:G113" si="8">IFERROR(G85/L85,"..")</f>
        <v>..</v>
      </c>
      <c r="H102" s="78" t="str">
        <f t="shared" ref="H102:H113" si="9">IFERROR(H85/M85,"..")</f>
        <v>..</v>
      </c>
      <c r="J102" s="169"/>
      <c r="K102" s="170"/>
      <c r="L102" s="170"/>
      <c r="M102" s="170"/>
      <c r="N102" s="170"/>
    </row>
    <row r="103" spans="2:20" s="149" customFormat="1">
      <c r="B103" s="66" t="str">
        <f t="shared" si="3"/>
        <v>..</v>
      </c>
      <c r="C103" s="54" t="str">
        <f t="shared" si="4"/>
        <v>..</v>
      </c>
      <c r="D103" s="54" t="str">
        <f t="shared" si="5"/>
        <v>..</v>
      </c>
      <c r="E103" s="54" t="str">
        <f t="shared" si="6"/>
        <v>..</v>
      </c>
      <c r="F103" s="54" t="str">
        <f t="shared" si="7"/>
        <v>..</v>
      </c>
      <c r="G103" s="54" t="str">
        <f t="shared" si="8"/>
        <v>..</v>
      </c>
      <c r="H103" s="79" t="str">
        <f t="shared" si="9"/>
        <v>..</v>
      </c>
      <c r="J103" s="169"/>
      <c r="K103" s="170"/>
      <c r="L103" s="170"/>
      <c r="M103" s="170"/>
      <c r="N103" s="170"/>
    </row>
    <row r="104" spans="2:20" s="149" customFormat="1">
      <c r="B104" s="63" t="str">
        <f t="shared" si="3"/>
        <v>..</v>
      </c>
      <c r="C104" s="64" t="str">
        <f t="shared" si="4"/>
        <v>..</v>
      </c>
      <c r="D104" s="64" t="str">
        <f t="shared" si="5"/>
        <v>..</v>
      </c>
      <c r="E104" s="64" t="str">
        <f t="shared" si="6"/>
        <v>..</v>
      </c>
      <c r="F104" s="64" t="str">
        <f t="shared" si="7"/>
        <v>..</v>
      </c>
      <c r="G104" s="64" t="str">
        <f t="shared" si="8"/>
        <v>..</v>
      </c>
      <c r="H104" s="80" t="str">
        <f t="shared" si="9"/>
        <v>..</v>
      </c>
      <c r="J104" s="169"/>
      <c r="K104" s="170"/>
      <c r="L104" s="170"/>
      <c r="M104" s="170"/>
      <c r="N104" s="170"/>
    </row>
    <row r="105" spans="2:20" s="149" customFormat="1">
      <c r="B105" s="66" t="str">
        <f t="shared" si="3"/>
        <v>..</v>
      </c>
      <c r="C105" s="54" t="str">
        <f t="shared" si="4"/>
        <v>..</v>
      </c>
      <c r="D105" s="54" t="str">
        <f t="shared" si="5"/>
        <v>..</v>
      </c>
      <c r="E105" s="54" t="str">
        <f t="shared" si="6"/>
        <v>..</v>
      </c>
      <c r="F105" s="54" t="str">
        <f t="shared" si="7"/>
        <v>..</v>
      </c>
      <c r="G105" s="54" t="str">
        <f t="shared" si="8"/>
        <v>..</v>
      </c>
      <c r="H105" s="79" t="str">
        <f t="shared" si="9"/>
        <v>..</v>
      </c>
      <c r="J105" s="169"/>
      <c r="K105" s="170"/>
      <c r="L105" s="170"/>
      <c r="M105" s="170"/>
      <c r="N105" s="170"/>
    </row>
    <row r="106" spans="2:20" s="149" customFormat="1">
      <c r="B106" s="63" t="str">
        <f t="shared" si="3"/>
        <v>..</v>
      </c>
      <c r="C106" s="64" t="str">
        <f t="shared" si="4"/>
        <v>..</v>
      </c>
      <c r="D106" s="64" t="str">
        <f t="shared" si="5"/>
        <v>..</v>
      </c>
      <c r="E106" s="64" t="str">
        <f t="shared" si="6"/>
        <v>..</v>
      </c>
      <c r="F106" s="64" t="str">
        <f t="shared" si="7"/>
        <v>..</v>
      </c>
      <c r="G106" s="64" t="str">
        <f t="shared" si="8"/>
        <v>..</v>
      </c>
      <c r="H106" s="80" t="str">
        <f t="shared" si="9"/>
        <v>..</v>
      </c>
      <c r="J106" s="169"/>
      <c r="K106" s="170"/>
      <c r="L106" s="170"/>
      <c r="M106" s="170"/>
      <c r="N106" s="170"/>
    </row>
    <row r="107" spans="2:20" s="149" customFormat="1">
      <c r="B107" s="66" t="str">
        <f t="shared" si="3"/>
        <v>..</v>
      </c>
      <c r="C107" s="54" t="str">
        <f t="shared" si="4"/>
        <v>..</v>
      </c>
      <c r="D107" s="54" t="str">
        <f t="shared" si="5"/>
        <v>..</v>
      </c>
      <c r="E107" s="54" t="str">
        <f t="shared" si="6"/>
        <v>..</v>
      </c>
      <c r="F107" s="54" t="str">
        <f t="shared" si="7"/>
        <v>..</v>
      </c>
      <c r="G107" s="54" t="str">
        <f t="shared" si="8"/>
        <v>..</v>
      </c>
      <c r="H107" s="79" t="str">
        <f t="shared" si="9"/>
        <v>..</v>
      </c>
      <c r="J107" s="169"/>
      <c r="K107" s="170"/>
      <c r="L107" s="170"/>
      <c r="M107" s="170"/>
      <c r="N107" s="170"/>
    </row>
    <row r="108" spans="2:20" s="149" customFormat="1">
      <c r="B108" s="63" t="str">
        <f t="shared" si="3"/>
        <v>..</v>
      </c>
      <c r="C108" s="64" t="str">
        <f t="shared" si="4"/>
        <v>..</v>
      </c>
      <c r="D108" s="64" t="str">
        <f t="shared" si="5"/>
        <v>..</v>
      </c>
      <c r="E108" s="64" t="str">
        <f t="shared" si="6"/>
        <v>..</v>
      </c>
      <c r="F108" s="64" t="str">
        <f t="shared" si="7"/>
        <v>..</v>
      </c>
      <c r="G108" s="64" t="str">
        <f t="shared" si="8"/>
        <v>..</v>
      </c>
      <c r="H108" s="80" t="str">
        <f t="shared" si="9"/>
        <v>..</v>
      </c>
      <c r="O108" s="170"/>
      <c r="P108" s="170"/>
      <c r="Q108" s="170"/>
      <c r="R108" s="170"/>
      <c r="S108" s="170"/>
      <c r="T108" s="170"/>
    </row>
    <row r="109" spans="2:20" s="149" customFormat="1">
      <c r="B109" s="66" t="str">
        <f t="shared" si="3"/>
        <v>..</v>
      </c>
      <c r="C109" s="54" t="str">
        <f t="shared" si="4"/>
        <v>..</v>
      </c>
      <c r="D109" s="54" t="str">
        <f t="shared" si="5"/>
        <v>..</v>
      </c>
      <c r="E109" s="54" t="str">
        <f t="shared" si="6"/>
        <v>..</v>
      </c>
      <c r="F109" s="54" t="str">
        <f t="shared" si="7"/>
        <v>..</v>
      </c>
      <c r="G109" s="54" t="str">
        <f t="shared" si="8"/>
        <v>..</v>
      </c>
      <c r="H109" s="79" t="str">
        <f t="shared" si="9"/>
        <v>..</v>
      </c>
    </row>
    <row r="110" spans="2:20" s="149" customFormat="1">
      <c r="B110" s="63" t="str">
        <f t="shared" si="3"/>
        <v>..</v>
      </c>
      <c r="C110" s="64" t="str">
        <f t="shared" si="4"/>
        <v>..</v>
      </c>
      <c r="D110" s="64" t="str">
        <f t="shared" si="5"/>
        <v>..</v>
      </c>
      <c r="E110" s="64" t="str">
        <f t="shared" si="6"/>
        <v>..</v>
      </c>
      <c r="F110" s="64" t="str">
        <f t="shared" si="7"/>
        <v>..</v>
      </c>
      <c r="G110" s="64" t="str">
        <f t="shared" si="8"/>
        <v>..</v>
      </c>
      <c r="H110" s="80" t="str">
        <f t="shared" si="9"/>
        <v>..</v>
      </c>
    </row>
    <row r="111" spans="2:20" s="149" customFormat="1">
      <c r="B111" s="81" t="str">
        <f t="shared" si="3"/>
        <v>..</v>
      </c>
      <c r="C111" s="82" t="str">
        <f t="shared" si="4"/>
        <v>..</v>
      </c>
      <c r="D111" s="82" t="str">
        <f t="shared" si="5"/>
        <v>..</v>
      </c>
      <c r="E111" s="82" t="str">
        <f t="shared" si="6"/>
        <v>..</v>
      </c>
      <c r="F111" s="82" t="str">
        <f t="shared" si="7"/>
        <v>..</v>
      </c>
      <c r="G111" s="82" t="str">
        <f t="shared" si="8"/>
        <v>..</v>
      </c>
      <c r="H111" s="83" t="str">
        <f t="shared" si="9"/>
        <v>..</v>
      </c>
    </row>
    <row r="112" spans="2:20" s="149" customFormat="1">
      <c r="B112" s="72" t="s">
        <v>30</v>
      </c>
      <c r="C112" s="73" t="str">
        <f t="shared" si="4"/>
        <v>..</v>
      </c>
      <c r="D112" s="73" t="str">
        <f t="shared" si="5"/>
        <v>..</v>
      </c>
      <c r="E112" s="73" t="str">
        <f t="shared" si="6"/>
        <v>..</v>
      </c>
      <c r="F112" s="73" t="str">
        <f t="shared" si="7"/>
        <v>..</v>
      </c>
      <c r="G112" s="73" t="str">
        <f t="shared" si="8"/>
        <v>..</v>
      </c>
      <c r="H112" s="171" t="str">
        <f t="shared" si="9"/>
        <v>..</v>
      </c>
    </row>
    <row r="113" spans="2:14" s="149" customFormat="1">
      <c r="B113" s="75" t="s">
        <v>31</v>
      </c>
      <c r="C113" s="76" t="str">
        <f t="shared" si="4"/>
        <v>..</v>
      </c>
      <c r="D113" s="76" t="str">
        <f t="shared" si="5"/>
        <v>..</v>
      </c>
      <c r="E113" s="76" t="str">
        <f t="shared" si="6"/>
        <v>..</v>
      </c>
      <c r="F113" s="76" t="str">
        <f t="shared" si="7"/>
        <v>..</v>
      </c>
      <c r="G113" s="76" t="str">
        <f t="shared" si="8"/>
        <v>..</v>
      </c>
      <c r="H113" s="172" t="str">
        <f t="shared" si="9"/>
        <v>..</v>
      </c>
    </row>
    <row r="114" spans="2:14" s="149" customFormat="1">
      <c r="J114" s="169"/>
      <c r="K114" s="170"/>
      <c r="L114" s="170"/>
      <c r="M114" s="170"/>
      <c r="N114" s="170"/>
    </row>
    <row r="115" spans="2:14" ht="23.25">
      <c r="B115" s="127" t="s">
        <v>667</v>
      </c>
    </row>
    <row r="116" spans="2:14" ht="15.75">
      <c r="B116" s="150" t="s">
        <v>330</v>
      </c>
    </row>
    <row r="117" spans="2:14" ht="25.5">
      <c r="B117" s="173" t="s">
        <v>36</v>
      </c>
      <c r="C117" s="173" t="s">
        <v>37</v>
      </c>
      <c r="D117" s="173" t="s">
        <v>38</v>
      </c>
      <c r="E117" s="173" t="s">
        <v>6</v>
      </c>
      <c r="F117" s="173" t="s">
        <v>39</v>
      </c>
      <c r="G117" s="173" t="s">
        <v>7</v>
      </c>
      <c r="H117" s="173" t="s">
        <v>40</v>
      </c>
    </row>
    <row r="118" spans="2:14">
      <c r="B118" s="269" t="s">
        <v>146</v>
      </c>
      <c r="C118" s="269">
        <v>32</v>
      </c>
      <c r="D118" s="269">
        <v>26</v>
      </c>
      <c r="E118" s="269">
        <v>61</v>
      </c>
      <c r="F118" s="224">
        <f>IFERROR((Table792226876[[#This Row],[Persons]]/$C$23),"..")</f>
        <v>0.4485294117647059</v>
      </c>
      <c r="G118" s="269"/>
      <c r="H118" s="64" t="str">
        <f t="shared" ref="H118:H128" si="10">IFERROR(((E118-G118)/G118),"..")</f>
        <v>..</v>
      </c>
    </row>
    <row r="119" spans="2:14">
      <c r="B119" s="272" t="s">
        <v>95</v>
      </c>
      <c r="C119" s="272">
        <v>34</v>
      </c>
      <c r="D119" s="272">
        <v>28</v>
      </c>
      <c r="E119" s="272">
        <v>59</v>
      </c>
      <c r="F119" s="226">
        <f>IFERROR((Table792226876[[#This Row],[Persons]]/$C$23),"..")</f>
        <v>0.43382352941176472</v>
      </c>
      <c r="G119" s="272">
        <v>14</v>
      </c>
      <c r="H119" s="54">
        <f t="shared" si="10"/>
        <v>3.2142857142857144</v>
      </c>
    </row>
    <row r="120" spans="2:14">
      <c r="B120" s="269" t="s">
        <v>196</v>
      </c>
      <c r="C120" s="269">
        <v>10</v>
      </c>
      <c r="D120" s="269">
        <v>8</v>
      </c>
      <c r="E120" s="269">
        <v>14</v>
      </c>
      <c r="F120" s="224">
        <f>IFERROR((Table792226876[[#This Row],[Persons]]/$C$23),"..")</f>
        <v>0.10294117647058823</v>
      </c>
      <c r="G120" s="269"/>
      <c r="H120" s="64" t="str">
        <f t="shared" si="10"/>
        <v>..</v>
      </c>
    </row>
    <row r="121" spans="2:14">
      <c r="B121" s="272" t="s">
        <v>94</v>
      </c>
      <c r="C121" s="531" t="s">
        <v>94</v>
      </c>
      <c r="D121" s="531" t="s">
        <v>94</v>
      </c>
      <c r="E121" s="531" t="s">
        <v>94</v>
      </c>
      <c r="F121" s="226" t="str">
        <f>IFERROR((Table792226876[[#This Row],[Persons]]/$C$23),"..")</f>
        <v>..</v>
      </c>
      <c r="G121" s="531" t="s">
        <v>94</v>
      </c>
      <c r="H121" s="54" t="str">
        <f t="shared" si="10"/>
        <v>..</v>
      </c>
    </row>
    <row r="122" spans="2:14">
      <c r="B122" s="269" t="s">
        <v>94</v>
      </c>
      <c r="C122" s="528" t="s">
        <v>94</v>
      </c>
      <c r="D122" s="528" t="s">
        <v>94</v>
      </c>
      <c r="E122" s="528" t="s">
        <v>94</v>
      </c>
      <c r="F122" s="224" t="str">
        <f>IFERROR((Table792226876[[#This Row],[Persons]]/$C$23),"..")</f>
        <v>..</v>
      </c>
      <c r="G122" s="528" t="s">
        <v>94</v>
      </c>
      <c r="H122" s="64" t="str">
        <f t="shared" si="10"/>
        <v>..</v>
      </c>
    </row>
    <row r="123" spans="2:14">
      <c r="B123" s="272" t="s">
        <v>94</v>
      </c>
      <c r="C123" s="531" t="s">
        <v>94</v>
      </c>
      <c r="D123" s="531" t="s">
        <v>94</v>
      </c>
      <c r="E123" s="531" t="s">
        <v>94</v>
      </c>
      <c r="F123" s="226" t="str">
        <f>IFERROR((Table792226876[[#This Row],[Persons]]/$C$23),"..")</f>
        <v>..</v>
      </c>
      <c r="G123" s="531" t="s">
        <v>94</v>
      </c>
      <c r="H123" s="54" t="str">
        <f t="shared" si="10"/>
        <v>..</v>
      </c>
    </row>
    <row r="124" spans="2:14">
      <c r="B124" s="269" t="s">
        <v>94</v>
      </c>
      <c r="C124" s="528" t="s">
        <v>94</v>
      </c>
      <c r="D124" s="528" t="s">
        <v>94</v>
      </c>
      <c r="E124" s="528" t="s">
        <v>94</v>
      </c>
      <c r="F124" s="224" t="str">
        <f>IFERROR((Table792226876[[#This Row],[Persons]]/$C$23),"..")</f>
        <v>..</v>
      </c>
      <c r="G124" s="528" t="s">
        <v>94</v>
      </c>
      <c r="H124" s="64" t="str">
        <f t="shared" si="10"/>
        <v>..</v>
      </c>
    </row>
    <row r="125" spans="2:14">
      <c r="B125" s="272" t="s">
        <v>94</v>
      </c>
      <c r="C125" s="531" t="s">
        <v>94</v>
      </c>
      <c r="D125" s="531" t="s">
        <v>94</v>
      </c>
      <c r="E125" s="531" t="s">
        <v>94</v>
      </c>
      <c r="F125" s="226" t="str">
        <f>IFERROR((Table792226876[[#This Row],[Persons]]/$C$23),"..")</f>
        <v>..</v>
      </c>
      <c r="G125" s="531" t="s">
        <v>94</v>
      </c>
      <c r="H125" s="54" t="str">
        <f t="shared" si="10"/>
        <v>..</v>
      </c>
    </row>
    <row r="126" spans="2:14">
      <c r="B126" s="269" t="s">
        <v>94</v>
      </c>
      <c r="C126" s="528" t="s">
        <v>94</v>
      </c>
      <c r="D126" s="528" t="s">
        <v>94</v>
      </c>
      <c r="E126" s="528" t="s">
        <v>94</v>
      </c>
      <c r="F126" s="224" t="str">
        <f>IFERROR((Table792226876[[#This Row],[Persons]]/$C$23),"..")</f>
        <v>..</v>
      </c>
      <c r="G126" s="528" t="s">
        <v>94</v>
      </c>
      <c r="H126" s="64" t="str">
        <f t="shared" si="10"/>
        <v>..</v>
      </c>
    </row>
    <row r="127" spans="2:14">
      <c r="B127" s="272" t="s">
        <v>94</v>
      </c>
      <c r="C127" s="531" t="s">
        <v>94</v>
      </c>
      <c r="D127" s="531" t="s">
        <v>94</v>
      </c>
      <c r="E127" s="531" t="s">
        <v>94</v>
      </c>
      <c r="F127" s="226" t="str">
        <f>IFERROR((Table792226876[[#This Row],[Persons]]/$C$23),"..")</f>
        <v>..</v>
      </c>
      <c r="G127" s="531" t="s">
        <v>94</v>
      </c>
      <c r="H127" s="54" t="str">
        <f t="shared" si="10"/>
        <v>..</v>
      </c>
    </row>
    <row r="128" spans="2:14">
      <c r="B128" s="269" t="s">
        <v>127</v>
      </c>
      <c r="C128" s="528">
        <f>Table792226876[[#Totals],[Males]]-SUM(C118:C127)</f>
        <v>4</v>
      </c>
      <c r="D128" s="528">
        <f>Table792226876[[#Totals],[Females]]-SUM(D118:D127)</f>
        <v>-5</v>
      </c>
      <c r="E128" s="528">
        <f>Table792226876[[#Totals],[Persons]]-SUM(E118:E127)</f>
        <v>2</v>
      </c>
      <c r="F128" s="224">
        <f>IFERROR((Table792226876[[#This Row],[Persons]]/$C$23),"..")</f>
        <v>1.4705882352941176E-2</v>
      </c>
      <c r="G128" s="528" t="s">
        <v>94</v>
      </c>
      <c r="H128" s="64" t="str">
        <f t="shared" si="10"/>
        <v>..</v>
      </c>
    </row>
    <row r="129" spans="1:9">
      <c r="B129" s="284" t="s">
        <v>872</v>
      </c>
      <c r="C129" s="175" t="s">
        <v>199</v>
      </c>
      <c r="D129" s="175" t="s">
        <v>200</v>
      </c>
      <c r="E129" s="176" t="s">
        <v>201</v>
      </c>
      <c r="F129" s="177" t="s">
        <v>22</v>
      </c>
      <c r="G129" s="176">
        <f>E23</f>
        <v>18</v>
      </c>
      <c r="H129" s="603">
        <f>(Table792226876[[#Totals],[Persons]]-Table792226876[[#Totals],[2011 Census]])/Table792226876[[#Totals],[2011 Census]]</f>
        <v>6.5555555555555554</v>
      </c>
    </row>
    <row r="130" spans="1:9">
      <c r="B130" s="389" t="s">
        <v>873</v>
      </c>
      <c r="C130" s="180"/>
      <c r="D130" s="180"/>
      <c r="E130" s="180"/>
      <c r="F130" s="181"/>
      <c r="G130" s="180"/>
      <c r="H130" s="180"/>
      <c r="I130" s="182"/>
    </row>
    <row r="131" spans="1:9">
      <c r="B131" s="183"/>
      <c r="C131" s="183"/>
      <c r="D131" s="183"/>
      <c r="E131" s="183"/>
      <c r="F131" s="174"/>
      <c r="G131" s="184"/>
      <c r="H131" s="183"/>
      <c r="I131" s="183"/>
    </row>
    <row r="132" spans="1:9" ht="23.25">
      <c r="B132" s="127" t="s">
        <v>668</v>
      </c>
    </row>
    <row r="133" spans="1:9" ht="15.75">
      <c r="B133" s="150" t="s">
        <v>825</v>
      </c>
    </row>
    <row r="134" spans="1:9" s="605" customFormat="1">
      <c r="A134" s="604"/>
      <c r="B134" s="139" t="s">
        <v>36</v>
      </c>
      <c r="C134" s="144" t="s">
        <v>42</v>
      </c>
      <c r="D134" s="144" t="s">
        <v>43</v>
      </c>
      <c r="E134" s="144" t="s">
        <v>44</v>
      </c>
      <c r="F134" s="144" t="s">
        <v>45</v>
      </c>
      <c r="G134" s="144" t="s">
        <v>46</v>
      </c>
      <c r="H134" s="144" t="s">
        <v>28</v>
      </c>
    </row>
    <row r="135" spans="1:9" s="149" customFormat="1">
      <c r="B135" s="606" t="s">
        <v>146</v>
      </c>
      <c r="C135" s="241"/>
      <c r="D135" s="241"/>
      <c r="E135" s="241"/>
      <c r="F135" s="241"/>
      <c r="G135" s="241"/>
      <c r="H135" s="203"/>
    </row>
    <row r="136" spans="1:9" s="149" customFormat="1">
      <c r="B136" s="188" t="s">
        <v>48</v>
      </c>
      <c r="C136" s="238">
        <v>10</v>
      </c>
      <c r="D136" s="238">
        <v>14</v>
      </c>
      <c r="E136" s="238">
        <v>23</v>
      </c>
      <c r="F136" s="238">
        <v>15</v>
      </c>
      <c r="G136" s="238">
        <v>3</v>
      </c>
      <c r="H136" s="554">
        <v>61</v>
      </c>
    </row>
    <row r="137" spans="1:9" s="149" customFormat="1">
      <c r="B137" s="191" t="s">
        <v>49</v>
      </c>
      <c r="C137" s="241">
        <v>0</v>
      </c>
      <c r="D137" s="241">
        <v>0</v>
      </c>
      <c r="E137" s="241">
        <v>0</v>
      </c>
      <c r="F137" s="241">
        <v>0</v>
      </c>
      <c r="G137" s="241">
        <v>0</v>
      </c>
      <c r="H137" s="203">
        <v>0</v>
      </c>
    </row>
    <row r="138" spans="1:9" s="149" customFormat="1">
      <c r="B138" s="188" t="s">
        <v>50</v>
      </c>
      <c r="C138" s="238">
        <v>10</v>
      </c>
      <c r="D138" s="238">
        <v>14</v>
      </c>
      <c r="E138" s="238">
        <v>23</v>
      </c>
      <c r="F138" s="238">
        <v>15</v>
      </c>
      <c r="G138" s="238">
        <v>3</v>
      </c>
      <c r="H138" s="554">
        <v>61</v>
      </c>
    </row>
    <row r="139" spans="1:9" s="149" customFormat="1">
      <c r="B139" s="194" t="s">
        <v>51</v>
      </c>
      <c r="C139" s="96">
        <f>IFERROR(C137/$H$138,"-")</f>
        <v>0</v>
      </c>
      <c r="D139" s="96">
        <f t="shared" ref="D139:H139" si="11">IFERROR(D137/$H$143,"-")</f>
        <v>0</v>
      </c>
      <c r="E139" s="96">
        <f t="shared" si="11"/>
        <v>0</v>
      </c>
      <c r="F139" s="96">
        <f t="shared" si="11"/>
        <v>0</v>
      </c>
      <c r="G139" s="96">
        <f t="shared" si="11"/>
        <v>0</v>
      </c>
      <c r="H139" s="97">
        <f t="shared" si="11"/>
        <v>0</v>
      </c>
    </row>
    <row r="140" spans="1:9" s="149" customFormat="1">
      <c r="B140" s="195" t="s">
        <v>128</v>
      </c>
      <c r="C140" s="196"/>
      <c r="D140" s="196"/>
      <c r="E140" s="196"/>
      <c r="F140" s="196"/>
      <c r="G140" s="196"/>
      <c r="H140" s="197"/>
    </row>
    <row r="141" spans="1:9" s="149" customFormat="1">
      <c r="B141" s="191" t="s">
        <v>48</v>
      </c>
      <c r="C141" s="241">
        <v>8</v>
      </c>
      <c r="D141" s="241">
        <v>18</v>
      </c>
      <c r="E141" s="241">
        <v>13</v>
      </c>
      <c r="F141" s="241">
        <v>14</v>
      </c>
      <c r="G141" s="241">
        <v>0</v>
      </c>
      <c r="H141" s="203">
        <v>60</v>
      </c>
    </row>
    <row r="142" spans="1:9" s="149" customFormat="1">
      <c r="B142" s="188" t="s">
        <v>49</v>
      </c>
      <c r="C142" s="238">
        <v>0</v>
      </c>
      <c r="D142" s="238">
        <v>0</v>
      </c>
      <c r="E142" s="238">
        <v>0</v>
      </c>
      <c r="F142" s="238">
        <v>0</v>
      </c>
      <c r="G142" s="238">
        <v>0</v>
      </c>
      <c r="H142" s="554">
        <v>6</v>
      </c>
    </row>
    <row r="143" spans="1:9" s="149" customFormat="1">
      <c r="B143" s="191" t="s">
        <v>50</v>
      </c>
      <c r="C143" s="241">
        <v>8</v>
      </c>
      <c r="D143" s="241">
        <v>18</v>
      </c>
      <c r="E143" s="241">
        <v>10</v>
      </c>
      <c r="F143" s="241">
        <v>23</v>
      </c>
      <c r="G143" s="241">
        <v>0</v>
      </c>
      <c r="H143" s="203">
        <v>59</v>
      </c>
    </row>
    <row r="144" spans="1:9" s="149" customFormat="1">
      <c r="B144" s="202" t="s">
        <v>51</v>
      </c>
      <c r="C144" s="101">
        <f>IFERROR(C142/$H$143,"-")</f>
        <v>0</v>
      </c>
      <c r="D144" s="101">
        <f t="shared" ref="D144:H144" si="12">IFERROR(D142/$H$143,"-")</f>
        <v>0</v>
      </c>
      <c r="E144" s="101">
        <f t="shared" si="12"/>
        <v>0</v>
      </c>
      <c r="F144" s="101">
        <f t="shared" si="12"/>
        <v>0</v>
      </c>
      <c r="G144" s="101">
        <f t="shared" si="12"/>
        <v>0</v>
      </c>
      <c r="H144" s="99">
        <f t="shared" si="12"/>
        <v>0.10169491525423729</v>
      </c>
    </row>
    <row r="145" spans="2:8" s="149" customFormat="1">
      <c r="B145" s="185" t="s">
        <v>196</v>
      </c>
      <c r="C145" s="186"/>
      <c r="D145" s="186"/>
      <c r="E145" s="186"/>
      <c r="F145" s="186"/>
      <c r="G145" s="186"/>
      <c r="H145" s="203"/>
    </row>
    <row r="146" spans="2:8" s="149" customFormat="1">
      <c r="B146" s="188" t="s">
        <v>48</v>
      </c>
      <c r="C146" s="238">
        <v>0</v>
      </c>
      <c r="D146" s="238">
        <v>5</v>
      </c>
      <c r="E146" s="238">
        <v>3</v>
      </c>
      <c r="F146" s="239">
        <v>5</v>
      </c>
      <c r="G146" s="434">
        <v>0</v>
      </c>
      <c r="H146" s="554">
        <v>14</v>
      </c>
    </row>
    <row r="147" spans="2:8" s="149" customFormat="1">
      <c r="B147" s="191" t="s">
        <v>49</v>
      </c>
      <c r="C147" s="241">
        <v>0</v>
      </c>
      <c r="D147" s="241">
        <v>0</v>
      </c>
      <c r="E147" s="241">
        <v>0</v>
      </c>
      <c r="F147" s="242">
        <v>0</v>
      </c>
      <c r="G147" s="241">
        <v>0</v>
      </c>
      <c r="H147" s="203">
        <v>0</v>
      </c>
    </row>
    <row r="148" spans="2:8" s="149" customFormat="1">
      <c r="B148" s="188" t="s">
        <v>50</v>
      </c>
      <c r="C148" s="238">
        <v>0</v>
      </c>
      <c r="D148" s="238">
        <v>5</v>
      </c>
      <c r="E148" s="238">
        <v>3</v>
      </c>
      <c r="F148" s="238">
        <v>5</v>
      </c>
      <c r="G148" s="435">
        <v>0</v>
      </c>
      <c r="H148" s="554">
        <v>14</v>
      </c>
    </row>
    <row r="149" spans="2:8" s="149" customFormat="1">
      <c r="B149" s="194" t="s">
        <v>51</v>
      </c>
      <c r="C149" s="96">
        <f>IFERROR(C147/$H$148,"..")</f>
        <v>0</v>
      </c>
      <c r="D149" s="96">
        <f t="shared" ref="D149:H149" si="13">IFERROR(D147/$H$148,"..")</f>
        <v>0</v>
      </c>
      <c r="E149" s="96">
        <f t="shared" si="13"/>
        <v>0</v>
      </c>
      <c r="F149" s="96">
        <f t="shared" si="13"/>
        <v>0</v>
      </c>
      <c r="G149" s="96">
        <f t="shared" si="13"/>
        <v>0</v>
      </c>
      <c r="H149" s="97">
        <f t="shared" si="13"/>
        <v>0</v>
      </c>
    </row>
    <row r="150" spans="2:8" s="149" customFormat="1">
      <c r="B150" s="195"/>
      <c r="C150" s="196"/>
      <c r="D150" s="196"/>
      <c r="E150" s="196"/>
      <c r="F150" s="196"/>
      <c r="G150" s="196"/>
      <c r="H150" s="197"/>
    </row>
    <row r="151" spans="2:8" s="149" customFormat="1">
      <c r="B151" s="191" t="s">
        <v>48</v>
      </c>
      <c r="C151" s="241"/>
      <c r="D151" s="241"/>
      <c r="E151" s="241"/>
      <c r="F151" s="241"/>
      <c r="G151" s="241"/>
      <c r="H151" s="203"/>
    </row>
    <row r="152" spans="2:8" s="149" customFormat="1">
      <c r="B152" s="188" t="s">
        <v>49</v>
      </c>
      <c r="C152" s="238"/>
      <c r="D152" s="238"/>
      <c r="E152" s="238"/>
      <c r="F152" s="238"/>
      <c r="G152" s="238"/>
      <c r="H152" s="554"/>
    </row>
    <row r="153" spans="2:8" s="149" customFormat="1">
      <c r="B153" s="191" t="s">
        <v>50</v>
      </c>
      <c r="C153" s="241"/>
      <c r="D153" s="241"/>
      <c r="E153" s="241"/>
      <c r="F153" s="241"/>
      <c r="G153" s="241"/>
      <c r="H153" s="203"/>
    </row>
    <row r="154" spans="2:8" s="149" customFormat="1">
      <c r="B154" s="202" t="s">
        <v>51</v>
      </c>
      <c r="C154" s="98" t="str">
        <f>IFERROR(C152/$H$153,"..")</f>
        <v>..</v>
      </c>
      <c r="D154" s="98" t="str">
        <f t="shared" ref="D154:H154" si="14">IFERROR(D152/$H$153,"..")</f>
        <v>..</v>
      </c>
      <c r="E154" s="98" t="str">
        <f t="shared" si="14"/>
        <v>..</v>
      </c>
      <c r="F154" s="98" t="str">
        <f t="shared" si="14"/>
        <v>..</v>
      </c>
      <c r="G154" s="98" t="str">
        <f t="shared" si="14"/>
        <v>..</v>
      </c>
      <c r="H154" s="100" t="str">
        <f t="shared" si="14"/>
        <v>..</v>
      </c>
    </row>
    <row r="155" spans="2:8" s="149" customFormat="1">
      <c r="B155" s="185"/>
      <c r="C155" s="186"/>
      <c r="D155" s="186"/>
      <c r="E155" s="186"/>
      <c r="F155" s="186"/>
      <c r="G155" s="186"/>
      <c r="H155" s="187"/>
    </row>
    <row r="156" spans="2:8" s="149" customFormat="1">
      <c r="B156" s="188" t="s">
        <v>48</v>
      </c>
      <c r="C156" s="238"/>
      <c r="D156" s="238"/>
      <c r="E156" s="238"/>
      <c r="F156" s="238"/>
      <c r="G156" s="238"/>
      <c r="H156" s="554"/>
    </row>
    <row r="157" spans="2:8" s="149" customFormat="1">
      <c r="B157" s="191" t="s">
        <v>49</v>
      </c>
      <c r="C157" s="241"/>
      <c r="D157" s="241"/>
      <c r="E157" s="241"/>
      <c r="F157" s="241"/>
      <c r="G157" s="241"/>
      <c r="H157" s="203"/>
    </row>
    <row r="158" spans="2:8" s="149" customFormat="1">
      <c r="B158" s="188" t="s">
        <v>50</v>
      </c>
      <c r="C158" s="238"/>
      <c r="D158" s="238"/>
      <c r="E158" s="238"/>
      <c r="F158" s="238"/>
      <c r="G158" s="238"/>
      <c r="H158" s="554"/>
    </row>
    <row r="159" spans="2:8" s="149" customFormat="1">
      <c r="B159" s="194" t="s">
        <v>51</v>
      </c>
      <c r="C159" s="96" t="str">
        <f>IFERROR(C157/$H$158,"..")</f>
        <v>..</v>
      </c>
      <c r="D159" s="96" t="str">
        <f t="shared" ref="D159:H159" si="15">IFERROR(D157/$H$158,"..")</f>
        <v>..</v>
      </c>
      <c r="E159" s="96" t="str">
        <f t="shared" si="15"/>
        <v>..</v>
      </c>
      <c r="F159" s="96" t="str">
        <f t="shared" si="15"/>
        <v>..</v>
      </c>
      <c r="G159" s="96" t="str">
        <f t="shared" si="15"/>
        <v>..</v>
      </c>
      <c r="H159" s="97" t="str">
        <f t="shared" si="15"/>
        <v>..</v>
      </c>
    </row>
    <row r="160" spans="2:8" s="149" customFormat="1">
      <c r="B160" s="195" t="s">
        <v>114</v>
      </c>
      <c r="C160" s="196"/>
      <c r="D160" s="196"/>
      <c r="E160" s="196"/>
      <c r="F160" s="196"/>
      <c r="G160" s="196"/>
      <c r="H160" s="197"/>
    </row>
    <row r="161" spans="2:10" s="149" customFormat="1">
      <c r="B161" s="191" t="s">
        <v>48</v>
      </c>
      <c r="C161" s="241">
        <v>24</v>
      </c>
      <c r="D161" s="241">
        <v>27</v>
      </c>
      <c r="E161" s="241">
        <v>43</v>
      </c>
      <c r="F161" s="241">
        <v>32</v>
      </c>
      <c r="G161" s="241">
        <v>6</v>
      </c>
      <c r="H161" s="203">
        <v>131</v>
      </c>
    </row>
    <row r="162" spans="2:10" s="149" customFormat="1">
      <c r="B162" s="188" t="s">
        <v>49</v>
      </c>
      <c r="C162" s="238">
        <v>0</v>
      </c>
      <c r="D162" s="238">
        <v>0</v>
      </c>
      <c r="E162" s="238">
        <v>0</v>
      </c>
      <c r="F162" s="238">
        <v>0</v>
      </c>
      <c r="G162" s="238">
        <v>0</v>
      </c>
      <c r="H162" s="554">
        <v>6</v>
      </c>
    </row>
    <row r="163" spans="2:10" s="149" customFormat="1">
      <c r="B163" s="191" t="s">
        <v>50</v>
      </c>
      <c r="C163" s="241">
        <v>24</v>
      </c>
      <c r="D163" s="241">
        <v>27</v>
      </c>
      <c r="E163" s="241">
        <v>43</v>
      </c>
      <c r="F163" s="241">
        <v>37</v>
      </c>
      <c r="G163" s="241">
        <v>7</v>
      </c>
      <c r="H163" s="203">
        <v>136</v>
      </c>
    </row>
    <row r="164" spans="2:10" s="149" customFormat="1">
      <c r="B164" s="202" t="s">
        <v>51</v>
      </c>
      <c r="C164" s="101">
        <f>IFERROR(C162/$H$163,"-")</f>
        <v>0</v>
      </c>
      <c r="D164" s="101">
        <f t="shared" ref="D164:H164" si="16">IFERROR(D162/$H$163,"-")</f>
        <v>0</v>
      </c>
      <c r="E164" s="101">
        <f t="shared" si="16"/>
        <v>0</v>
      </c>
      <c r="F164" s="101">
        <f t="shared" si="16"/>
        <v>0</v>
      </c>
      <c r="G164" s="101">
        <f t="shared" si="16"/>
        <v>0</v>
      </c>
      <c r="H164" s="99">
        <f t="shared" si="16"/>
        <v>4.4117647058823532E-2</v>
      </c>
    </row>
    <row r="165" spans="2:10" ht="23.25">
      <c r="B165" s="127"/>
    </row>
    <row r="166" spans="2:10" ht="23.25">
      <c r="B166" s="127" t="s">
        <v>669</v>
      </c>
    </row>
    <row r="167" spans="2:10" ht="15.75">
      <c r="B167" s="150" t="s">
        <v>826</v>
      </c>
      <c r="J167" s="134"/>
    </row>
    <row r="168" spans="2:10" ht="38.25">
      <c r="B168" s="323"/>
      <c r="C168" s="1233" t="s">
        <v>56</v>
      </c>
      <c r="D168" s="1234"/>
      <c r="E168" s="1234"/>
      <c r="F168" s="1238"/>
      <c r="G168" s="607" t="s">
        <v>57</v>
      </c>
      <c r="H168" s="212" t="s">
        <v>58</v>
      </c>
      <c r="I168" s="213" t="s">
        <v>70</v>
      </c>
    </row>
    <row r="169" spans="2:10" ht="63.75">
      <c r="B169" s="608" t="s">
        <v>879</v>
      </c>
      <c r="C169" s="214" t="s">
        <v>61</v>
      </c>
      <c r="D169" s="214" t="s">
        <v>60</v>
      </c>
      <c r="E169" s="214" t="s">
        <v>59</v>
      </c>
      <c r="F169" s="609" t="s">
        <v>848</v>
      </c>
      <c r="G169" s="214" t="s">
        <v>122</v>
      </c>
      <c r="H169" s="214" t="s">
        <v>123</v>
      </c>
      <c r="I169" s="215" t="s">
        <v>124</v>
      </c>
    </row>
    <row r="170" spans="2:10">
      <c r="B170" s="216" t="s">
        <v>118</v>
      </c>
      <c r="C170" s="610">
        <v>154</v>
      </c>
      <c r="D170" s="610">
        <v>0</v>
      </c>
      <c r="E170" s="610">
        <v>0</v>
      </c>
      <c r="F170" s="610">
        <v>0</v>
      </c>
      <c r="G170" s="610">
        <v>0</v>
      </c>
      <c r="H170" s="610">
        <v>0</v>
      </c>
      <c r="I170" s="611">
        <v>154</v>
      </c>
    </row>
    <row r="171" spans="2:10">
      <c r="B171" s="216" t="s">
        <v>116</v>
      </c>
      <c r="C171" s="610">
        <v>7</v>
      </c>
      <c r="D171" s="610">
        <v>0</v>
      </c>
      <c r="E171" s="610">
        <v>0</v>
      </c>
      <c r="F171" s="610">
        <v>0</v>
      </c>
      <c r="G171" s="610">
        <v>0</v>
      </c>
      <c r="H171" s="610">
        <v>0</v>
      </c>
      <c r="I171" s="611">
        <v>7</v>
      </c>
    </row>
    <row r="172" spans="2:10">
      <c r="B172" s="216" t="s">
        <v>115</v>
      </c>
      <c r="C172" s="610">
        <v>5</v>
      </c>
      <c r="D172" s="610">
        <v>0</v>
      </c>
      <c r="E172" s="610">
        <v>0</v>
      </c>
      <c r="F172" s="610">
        <v>0</v>
      </c>
      <c r="G172" s="610">
        <v>0</v>
      </c>
      <c r="H172" s="610">
        <v>0</v>
      </c>
      <c r="I172" s="611">
        <v>5</v>
      </c>
    </row>
    <row r="173" spans="2:10">
      <c r="B173" s="216" t="s">
        <v>94</v>
      </c>
      <c r="C173" s="612" t="s">
        <v>94</v>
      </c>
      <c r="D173" s="612" t="s">
        <v>94</v>
      </c>
      <c r="E173" s="612" t="s">
        <v>94</v>
      </c>
      <c r="F173" s="612" t="s">
        <v>94</v>
      </c>
      <c r="G173" s="612" t="s">
        <v>94</v>
      </c>
      <c r="H173" s="612" t="s">
        <v>94</v>
      </c>
      <c r="I173" s="613" t="s">
        <v>94</v>
      </c>
    </row>
    <row r="174" spans="2:10">
      <c r="B174" s="216" t="s">
        <v>94</v>
      </c>
      <c r="C174" s="612" t="s">
        <v>94</v>
      </c>
      <c r="D174" s="612" t="s">
        <v>94</v>
      </c>
      <c r="E174" s="612" t="s">
        <v>94</v>
      </c>
      <c r="F174" s="612" t="s">
        <v>94</v>
      </c>
      <c r="G174" s="612" t="s">
        <v>94</v>
      </c>
      <c r="H174" s="612" t="s">
        <v>94</v>
      </c>
      <c r="I174" s="613" t="s">
        <v>94</v>
      </c>
    </row>
    <row r="175" spans="2:10">
      <c r="B175" s="216" t="s">
        <v>94</v>
      </c>
      <c r="C175" s="612" t="s">
        <v>94</v>
      </c>
      <c r="D175" s="612" t="s">
        <v>94</v>
      </c>
      <c r="E175" s="612" t="s">
        <v>94</v>
      </c>
      <c r="F175" s="612" t="s">
        <v>94</v>
      </c>
      <c r="G175" s="612" t="s">
        <v>94</v>
      </c>
      <c r="H175" s="612" t="s">
        <v>94</v>
      </c>
      <c r="I175" s="613" t="s">
        <v>94</v>
      </c>
    </row>
    <row r="176" spans="2:10">
      <c r="B176" s="216" t="s">
        <v>94</v>
      </c>
      <c r="C176" s="612" t="s">
        <v>94</v>
      </c>
      <c r="D176" s="612" t="s">
        <v>94</v>
      </c>
      <c r="E176" s="612" t="s">
        <v>94</v>
      </c>
      <c r="F176" s="612" t="s">
        <v>94</v>
      </c>
      <c r="G176" s="612" t="s">
        <v>94</v>
      </c>
      <c r="H176" s="612" t="s">
        <v>94</v>
      </c>
      <c r="I176" s="613" t="s">
        <v>94</v>
      </c>
    </row>
    <row r="177" spans="2:9">
      <c r="B177" s="216" t="s">
        <v>94</v>
      </c>
      <c r="C177" s="612" t="s">
        <v>94</v>
      </c>
      <c r="D177" s="612" t="s">
        <v>94</v>
      </c>
      <c r="E177" s="612" t="s">
        <v>94</v>
      </c>
      <c r="F177" s="612" t="s">
        <v>94</v>
      </c>
      <c r="G177" s="612" t="s">
        <v>94</v>
      </c>
      <c r="H177" s="612" t="s">
        <v>94</v>
      </c>
      <c r="I177" s="613" t="s">
        <v>94</v>
      </c>
    </row>
    <row r="178" spans="2:9">
      <c r="B178" s="216" t="s">
        <v>94</v>
      </c>
      <c r="C178" s="612" t="s">
        <v>94</v>
      </c>
      <c r="D178" s="612" t="s">
        <v>94</v>
      </c>
      <c r="E178" s="612" t="s">
        <v>94</v>
      </c>
      <c r="F178" s="612" t="s">
        <v>94</v>
      </c>
      <c r="G178" s="612" t="s">
        <v>94</v>
      </c>
      <c r="H178" s="612" t="s">
        <v>94</v>
      </c>
      <c r="I178" s="613" t="s">
        <v>94</v>
      </c>
    </row>
    <row r="179" spans="2:9">
      <c r="B179" s="219" t="s">
        <v>94</v>
      </c>
      <c r="C179" s="614" t="s">
        <v>94</v>
      </c>
      <c r="D179" s="614" t="s">
        <v>94</v>
      </c>
      <c r="E179" s="614" t="s">
        <v>94</v>
      </c>
      <c r="F179" s="614" t="s">
        <v>94</v>
      </c>
      <c r="G179" s="614" t="s">
        <v>94</v>
      </c>
      <c r="H179" s="614" t="s">
        <v>94</v>
      </c>
      <c r="I179" s="615" t="s">
        <v>94</v>
      </c>
    </row>
    <row r="180" spans="2:9">
      <c r="B180" s="389" t="s">
        <v>878</v>
      </c>
    </row>
    <row r="181" spans="2:9">
      <c r="B181" s="389"/>
    </row>
    <row r="182" spans="2:9" s="149" customFormat="1" ht="23.25">
      <c r="B182" s="127" t="s">
        <v>670</v>
      </c>
    </row>
    <row r="183" spans="2:9" s="149" customFormat="1" ht="15.75">
      <c r="B183" s="150" t="s">
        <v>62</v>
      </c>
    </row>
    <row r="184" spans="2:9" s="149" customFormat="1" ht="25.5">
      <c r="B184" s="173" t="s">
        <v>64</v>
      </c>
      <c r="C184" s="222" t="s">
        <v>37</v>
      </c>
      <c r="D184" s="222" t="s">
        <v>38</v>
      </c>
      <c r="E184" s="222" t="s">
        <v>6</v>
      </c>
      <c r="F184" s="222" t="s">
        <v>1</v>
      </c>
      <c r="G184" s="571" t="s">
        <v>7</v>
      </c>
      <c r="H184" s="526" t="s">
        <v>65</v>
      </c>
      <c r="I184" s="572" t="s">
        <v>8</v>
      </c>
    </row>
    <row r="185" spans="2:9" s="149" customFormat="1">
      <c r="B185" s="573" t="s">
        <v>164</v>
      </c>
      <c r="C185" s="574">
        <v>49</v>
      </c>
      <c r="D185" s="574">
        <v>37</v>
      </c>
      <c r="E185" s="574">
        <v>83</v>
      </c>
      <c r="F185" s="102">
        <f>IFERROR((Table792226811241518[[#This Row],[Persons]]/$C$15),"..")</f>
        <v>0.5</v>
      </c>
      <c r="G185" s="228"/>
      <c r="H185" s="103">
        <f>IFERROR(Table792226811241518[[#This Row],[Persons]]-Table792226811241518[[#This Row],[2011 Census]],"..")</f>
        <v>83</v>
      </c>
      <c r="I185" s="104" t="str">
        <f>IFERROR((Table792226811241518[[#This Row],[Persons]]-Table792226811241518[[#This Row],[2011 Census]])/Table792226811241518[[#This Row],[2011 Census]],"..")</f>
        <v>..</v>
      </c>
    </row>
    <row r="186" spans="2:9" s="149" customFormat="1">
      <c r="B186" s="183" t="s">
        <v>162</v>
      </c>
      <c r="C186" s="575">
        <v>17</v>
      </c>
      <c r="D186" s="575">
        <v>12</v>
      </c>
      <c r="E186" s="575">
        <v>37</v>
      </c>
      <c r="F186" s="105">
        <f>IFERROR((Table792226811241518[[#This Row],[Persons]]/$C$15),"..")</f>
        <v>0.22289156626506024</v>
      </c>
      <c r="G186" s="227"/>
      <c r="H186" s="106">
        <f>IFERROR(Table792226811241518[[#This Row],[Persons]]-Table792226811241518[[#This Row],[2011 Census]],"..")</f>
        <v>37</v>
      </c>
      <c r="I186" s="91" t="str">
        <f>IFERROR((Table792226811241518[[#This Row],[Persons]]-Table792226811241518[[#This Row],[2011 Census]])/Table792226811241518[[#This Row],[2011 Census]],"..")</f>
        <v>..</v>
      </c>
    </row>
    <row r="187" spans="2:9" s="149" customFormat="1">
      <c r="B187" s="573" t="s">
        <v>150</v>
      </c>
      <c r="C187" s="574">
        <v>17</v>
      </c>
      <c r="D187" s="574">
        <v>12</v>
      </c>
      <c r="E187" s="574">
        <v>30</v>
      </c>
      <c r="F187" s="102">
        <f>IFERROR((Table792226811241518[[#This Row],[Persons]]/$C$15),"..")</f>
        <v>0.18072289156626506</v>
      </c>
      <c r="G187" s="228"/>
      <c r="H187" s="103">
        <f>IFERROR(Table792226811241518[[#This Row],[Persons]]-Table792226811241518[[#This Row],[2011 Census]],"..")</f>
        <v>30</v>
      </c>
      <c r="I187" s="104" t="str">
        <f>IFERROR((Table792226811241518[[#This Row],[Persons]]-Table792226811241518[[#This Row],[2011 Census]])/Table792226811241518[[#This Row],[2011 Census]],"..")</f>
        <v>..</v>
      </c>
    </row>
    <row r="188" spans="2:9" s="149" customFormat="1">
      <c r="B188" s="183" t="s">
        <v>149</v>
      </c>
      <c r="C188" s="575">
        <v>4</v>
      </c>
      <c r="D188" s="575">
        <v>4</v>
      </c>
      <c r="E188" s="575">
        <v>9</v>
      </c>
      <c r="F188" s="105">
        <f>IFERROR((Table792226811241518[[#This Row],[Persons]]/$C$15),"..")</f>
        <v>5.4216867469879519E-2</v>
      </c>
      <c r="G188" s="227"/>
      <c r="H188" s="106">
        <f>IFERROR(Table792226811241518[[#This Row],[Persons]]-Table792226811241518[[#This Row],[2011 Census]],"..")</f>
        <v>9</v>
      </c>
      <c r="I188" s="91" t="str">
        <f>IFERROR((Table792226811241518[[#This Row],[Persons]]-Table792226811241518[[#This Row],[2011 Census]])/Table792226811241518[[#This Row],[2011 Census]],"..")</f>
        <v>..</v>
      </c>
    </row>
    <row r="189" spans="2:9" s="149" customFormat="1">
      <c r="B189" s="573" t="s">
        <v>151</v>
      </c>
      <c r="C189" s="574">
        <v>0</v>
      </c>
      <c r="D189" s="574">
        <v>4</v>
      </c>
      <c r="E189" s="574">
        <v>4</v>
      </c>
      <c r="F189" s="102">
        <f>IFERROR((Table792226811241518[[#This Row],[Persons]]/$C$15),"..")</f>
        <v>2.4096385542168676E-2</v>
      </c>
      <c r="G189" s="228"/>
      <c r="H189" s="103">
        <f>IFERROR(Table792226811241518[[#This Row],[Persons]]-Table792226811241518[[#This Row],[2011 Census]],"..")</f>
        <v>4</v>
      </c>
      <c r="I189" s="104" t="str">
        <f>IFERROR((Table792226811241518[[#This Row],[Persons]]-Table792226811241518[[#This Row],[2011 Census]])/Table792226811241518[[#This Row],[2011 Census]],"..")</f>
        <v>..</v>
      </c>
    </row>
    <row r="190" spans="2:9" s="149" customFormat="1">
      <c r="B190" s="183" t="s">
        <v>94</v>
      </c>
      <c r="C190" s="575" t="s">
        <v>94</v>
      </c>
      <c r="D190" s="575" t="s">
        <v>94</v>
      </c>
      <c r="E190" s="575" t="s">
        <v>94</v>
      </c>
      <c r="F190" s="105" t="str">
        <f>IFERROR((Table792226811241518[[#This Row],[Persons]]/$C$15),"..")</f>
        <v>..</v>
      </c>
      <c r="G190" s="227" t="s">
        <v>94</v>
      </c>
      <c r="H190" s="106" t="str">
        <f>IFERROR(Table792226811241518[[#This Row],[Persons]]-Table792226811241518[[#This Row],[2011 Census]],"..")</f>
        <v>..</v>
      </c>
      <c r="I190" s="91" t="str">
        <f>IFERROR((Table792226811241518[[#This Row],[Persons]]-Table792226811241518[[#This Row],[2011 Census]])/Table792226811241518[[#This Row],[2011 Census]],"..")</f>
        <v>..</v>
      </c>
    </row>
    <row r="191" spans="2:9" s="149" customFormat="1">
      <c r="B191" s="183" t="s">
        <v>94</v>
      </c>
      <c r="C191" s="575" t="s">
        <v>94</v>
      </c>
      <c r="D191" s="575" t="s">
        <v>94</v>
      </c>
      <c r="E191" s="575" t="s">
        <v>94</v>
      </c>
      <c r="F191" s="105" t="str">
        <f>IFERROR((Table792226811241518[[#This Row],[Persons]]/$C$15),"..")</f>
        <v>..</v>
      </c>
      <c r="G191" s="227" t="s">
        <v>94</v>
      </c>
      <c r="H191" s="106" t="str">
        <f>IFERROR(Table792226811241518[[#This Row],[Persons]]-Table792226811241518[[#This Row],[2011 Census]],"..")</f>
        <v>..</v>
      </c>
      <c r="I191" s="91" t="str">
        <f>IFERROR((Table792226811241518[[#This Row],[Persons]]-Table792226811241518[[#This Row],[2011 Census]])/Table792226811241518[[#This Row],[2011 Census]],"..")</f>
        <v>..</v>
      </c>
    </row>
    <row r="192" spans="2:9" s="149" customFormat="1">
      <c r="B192" s="183" t="s">
        <v>94</v>
      </c>
      <c r="C192" s="575" t="s">
        <v>94</v>
      </c>
      <c r="D192" s="575" t="s">
        <v>94</v>
      </c>
      <c r="E192" s="575" t="s">
        <v>94</v>
      </c>
      <c r="F192" s="105" t="str">
        <f>IFERROR((Table792226811241518[[#This Row],[Persons]]/$C$15),"..")</f>
        <v>..</v>
      </c>
      <c r="G192" s="227" t="s">
        <v>94</v>
      </c>
      <c r="H192" s="106" t="str">
        <f>IFERROR(Table792226811241518[[#This Row],[Persons]]-Table792226811241518[[#This Row],[2011 Census]],"..")</f>
        <v>..</v>
      </c>
      <c r="I192" s="91" t="str">
        <f>IFERROR((Table792226811241518[[#This Row],[Persons]]-Table792226811241518[[#This Row],[2011 Census]])/Table792226811241518[[#This Row],[2011 Census]],"..")</f>
        <v>..</v>
      </c>
    </row>
    <row r="193" spans="2:9" s="149" customFormat="1">
      <c r="B193" s="183" t="s">
        <v>94</v>
      </c>
      <c r="C193" s="575" t="s">
        <v>94</v>
      </c>
      <c r="D193" s="575" t="s">
        <v>94</v>
      </c>
      <c r="E193" s="575" t="s">
        <v>94</v>
      </c>
      <c r="F193" s="105" t="str">
        <f>IFERROR((Table792226811241518[[#This Row],[Persons]]/$C$15),"..")</f>
        <v>..</v>
      </c>
      <c r="G193" s="227" t="s">
        <v>94</v>
      </c>
      <c r="H193" s="106" t="str">
        <f>IFERROR(Table792226811241518[[#This Row],[Persons]]-Table792226811241518[[#This Row],[2011 Census]],"..")</f>
        <v>..</v>
      </c>
      <c r="I193" s="91" t="str">
        <f>IFERROR((Table792226811241518[[#This Row],[Persons]]-Table792226811241518[[#This Row],[2011 Census]])/Table792226811241518[[#This Row],[2011 Census]],"..")</f>
        <v>..</v>
      </c>
    </row>
    <row r="194" spans="2:9" s="149" customFormat="1">
      <c r="B194" s="183" t="s">
        <v>94</v>
      </c>
      <c r="C194" s="575" t="s">
        <v>94</v>
      </c>
      <c r="D194" s="575" t="s">
        <v>94</v>
      </c>
      <c r="E194" s="575" t="s">
        <v>94</v>
      </c>
      <c r="F194" s="105" t="str">
        <f>IFERROR((Table792226811241518[[#This Row],[Persons]]/$C$15),"..")</f>
        <v>..</v>
      </c>
      <c r="G194" s="227" t="s">
        <v>94</v>
      </c>
      <c r="H194" s="106" t="str">
        <f>IFERROR(Table792226811241518[[#This Row],[Persons]]-Table792226811241518[[#This Row],[2011 Census]],"..")</f>
        <v>..</v>
      </c>
      <c r="I194" s="91" t="str">
        <f>IFERROR((Table792226811241518[[#This Row],[Persons]]-Table792226811241518[[#This Row],[2011 Census]])/Table792226811241518[[#This Row],[2011 Census]],"..")</f>
        <v>..</v>
      </c>
    </row>
    <row r="195" spans="2:9" s="149" customFormat="1">
      <c r="B195" s="183" t="s">
        <v>94</v>
      </c>
      <c r="C195" s="575" t="s">
        <v>94</v>
      </c>
      <c r="D195" s="575" t="s">
        <v>94</v>
      </c>
      <c r="E195" s="575" t="s">
        <v>94</v>
      </c>
      <c r="F195" s="105" t="str">
        <f>IFERROR((Table792226811241518[[#This Row],[Persons]]/$C$15),"..")</f>
        <v>..</v>
      </c>
      <c r="G195" s="227" t="s">
        <v>94</v>
      </c>
      <c r="H195" s="106" t="str">
        <f>IFERROR(Table792226811241518[[#This Row],[Persons]]-Table792226811241518[[#This Row],[2011 Census]],"..")</f>
        <v>..</v>
      </c>
      <c r="I195" s="91" t="str">
        <f>IFERROR((Table792226811241518[[#This Row],[Persons]]-Table792226811241518[[#This Row],[2011 Census]])/Table792226811241518[[#This Row],[2011 Census]],"..")</f>
        <v>..</v>
      </c>
    </row>
    <row r="196" spans="2:9" s="149" customFormat="1">
      <c r="B196" s="183" t="s">
        <v>94</v>
      </c>
      <c r="C196" s="575" t="s">
        <v>94</v>
      </c>
      <c r="D196" s="575" t="s">
        <v>94</v>
      </c>
      <c r="E196" s="575" t="s">
        <v>94</v>
      </c>
      <c r="F196" s="105" t="str">
        <f>IFERROR((Table792226811241518[[#This Row],[Persons]]/$C$15),"..")</f>
        <v>..</v>
      </c>
      <c r="G196" s="227" t="s">
        <v>94</v>
      </c>
      <c r="H196" s="106" t="str">
        <f>IFERROR(Table792226811241518[[#This Row],[Persons]]-Table792226811241518[[#This Row],[2011 Census]],"..")</f>
        <v>..</v>
      </c>
      <c r="I196" s="91" t="str">
        <f>IFERROR((Table792226811241518[[#This Row],[Persons]]-Table792226811241518[[#This Row],[2011 Census]])/Table792226811241518[[#This Row],[2011 Census]],"..")</f>
        <v>..</v>
      </c>
    </row>
    <row r="197" spans="2:9" s="149" customFormat="1">
      <c r="B197" s="183" t="s">
        <v>94</v>
      </c>
      <c r="C197" s="575" t="s">
        <v>94</v>
      </c>
      <c r="D197" s="575" t="s">
        <v>94</v>
      </c>
      <c r="E197" s="575" t="s">
        <v>94</v>
      </c>
      <c r="F197" s="105" t="str">
        <f>IFERROR((Table792226811241518[[#This Row],[Persons]]/$C$15),"..")</f>
        <v>..</v>
      </c>
      <c r="G197" s="227" t="s">
        <v>94</v>
      </c>
      <c r="H197" s="106" t="str">
        <f>IFERROR(Table792226811241518[[#This Row],[Persons]]-Table792226811241518[[#This Row],[2011 Census]],"..")</f>
        <v>..</v>
      </c>
      <c r="I197" s="91" t="str">
        <f>IFERROR((Table792226811241518[[#This Row],[Persons]]-Table792226811241518[[#This Row],[2011 Census]])/Table792226811241518[[#This Row],[2011 Census]],"..")</f>
        <v>..</v>
      </c>
    </row>
    <row r="198" spans="2:9" s="149" customFormat="1">
      <c r="B198" s="183" t="s">
        <v>94</v>
      </c>
      <c r="C198" s="575" t="s">
        <v>94</v>
      </c>
      <c r="D198" s="575" t="s">
        <v>94</v>
      </c>
      <c r="E198" s="575" t="s">
        <v>94</v>
      </c>
      <c r="F198" s="105" t="str">
        <f>IFERROR((Table792226811241518[[#This Row],[Persons]]/$C$15),"..")</f>
        <v>..</v>
      </c>
      <c r="G198" s="227" t="s">
        <v>94</v>
      </c>
      <c r="H198" s="106" t="str">
        <f>IFERROR(Table792226811241518[[#This Row],[Persons]]-Table792226811241518[[#This Row],[2011 Census]],"..")</f>
        <v>..</v>
      </c>
      <c r="I198" s="91" t="str">
        <f>IFERROR((Table792226811241518[[#This Row],[Persons]]-Table792226811241518[[#This Row],[2011 Census]])/Table792226811241518[[#This Row],[2011 Census]],"..")</f>
        <v>..</v>
      </c>
    </row>
    <row r="199" spans="2:9" s="149" customFormat="1">
      <c r="B199" s="183" t="s">
        <v>94</v>
      </c>
      <c r="C199" s="575" t="s">
        <v>94</v>
      </c>
      <c r="D199" s="575" t="s">
        <v>94</v>
      </c>
      <c r="E199" s="575" t="s">
        <v>94</v>
      </c>
      <c r="F199" s="105" t="str">
        <f>IFERROR((Table792226811241518[[#This Row],[Persons]]/$C$15),"..")</f>
        <v>..</v>
      </c>
      <c r="G199" s="227" t="s">
        <v>94</v>
      </c>
      <c r="H199" s="106" t="str">
        <f>IFERROR(Table792226811241518[[#This Row],[Persons]]-Table792226811241518[[#This Row],[2011 Census]],"..")</f>
        <v>..</v>
      </c>
      <c r="I199" s="91" t="str">
        <f>IFERROR((Table792226811241518[[#This Row],[Persons]]-Table792226811241518[[#This Row],[2011 Census]])/Table792226811241518[[#This Row],[2011 Census]],"..")</f>
        <v>..</v>
      </c>
    </row>
    <row r="200" spans="2:9" s="149" customFormat="1">
      <c r="B200" s="183" t="s">
        <v>94</v>
      </c>
      <c r="C200" s="575" t="s">
        <v>94</v>
      </c>
      <c r="D200" s="575" t="s">
        <v>94</v>
      </c>
      <c r="E200" s="575" t="s">
        <v>94</v>
      </c>
      <c r="F200" s="105" t="str">
        <f>IFERROR((Table792226811241518[[#This Row],[Persons]]/$C$15),"..")</f>
        <v>..</v>
      </c>
      <c r="G200" s="227" t="s">
        <v>94</v>
      </c>
      <c r="H200" s="106" t="str">
        <f>IFERROR(Table792226811241518[[#This Row],[Persons]]-Table792226811241518[[#This Row],[2011 Census]],"..")</f>
        <v>..</v>
      </c>
      <c r="I200" s="91" t="str">
        <f>IFERROR((Table792226811241518[[#This Row],[Persons]]-Table792226811241518[[#This Row],[2011 Census]])/Table792226811241518[[#This Row],[2011 Census]],"..")</f>
        <v>..</v>
      </c>
    </row>
    <row r="201" spans="2:9" s="149" customFormat="1">
      <c r="B201" s="183" t="s">
        <v>94</v>
      </c>
      <c r="C201" s="575" t="s">
        <v>94</v>
      </c>
      <c r="D201" s="575" t="s">
        <v>94</v>
      </c>
      <c r="E201" s="575" t="s">
        <v>94</v>
      </c>
      <c r="F201" s="105" t="str">
        <f>IFERROR((Table792226811241518[[#This Row],[Persons]]/$C$15),"..")</f>
        <v>..</v>
      </c>
      <c r="G201" s="227" t="s">
        <v>94</v>
      </c>
      <c r="H201" s="106" t="str">
        <f>IFERROR(Table792226811241518[[#This Row],[Persons]]-Table792226811241518[[#This Row],[2011 Census]],"..")</f>
        <v>..</v>
      </c>
      <c r="I201" s="91" t="str">
        <f>IFERROR((Table792226811241518[[#This Row],[Persons]]-Table792226811241518[[#This Row],[2011 Census]])/Table792226811241518[[#This Row],[2011 Census]],"..")</f>
        <v>..</v>
      </c>
    </row>
    <row r="202" spans="2:9" s="149" customFormat="1">
      <c r="B202" s="183" t="s">
        <v>94</v>
      </c>
      <c r="C202" s="575" t="s">
        <v>94</v>
      </c>
      <c r="D202" s="575" t="s">
        <v>94</v>
      </c>
      <c r="E202" s="575" t="s">
        <v>94</v>
      </c>
      <c r="F202" s="105" t="str">
        <f>IFERROR((Table792226811241518[[#This Row],[Persons]]/$C$15),"..")</f>
        <v>..</v>
      </c>
      <c r="G202" s="227" t="s">
        <v>94</v>
      </c>
      <c r="H202" s="106" t="str">
        <f>IFERROR(Table792226811241518[[#This Row],[Persons]]-Table792226811241518[[#This Row],[2011 Census]],"..")</f>
        <v>..</v>
      </c>
      <c r="I202" s="91" t="str">
        <f>IFERROR((Table792226811241518[[#This Row],[Persons]]-Table792226811241518[[#This Row],[2011 Census]])/Table792226811241518[[#This Row],[2011 Census]],"..")</f>
        <v>..</v>
      </c>
    </row>
    <row r="203" spans="2:9" s="149" customFormat="1">
      <c r="B203" s="183" t="s">
        <v>94</v>
      </c>
      <c r="C203" s="575" t="s">
        <v>94</v>
      </c>
      <c r="D203" s="575" t="s">
        <v>94</v>
      </c>
      <c r="E203" s="575" t="s">
        <v>94</v>
      </c>
      <c r="F203" s="105" t="str">
        <f>IFERROR((Table792226811241518[[#This Row],[Persons]]/$C$15),"..")</f>
        <v>..</v>
      </c>
      <c r="G203" s="227" t="s">
        <v>94</v>
      </c>
      <c r="H203" s="106" t="str">
        <f>IFERROR(Table792226811241518[[#This Row],[Persons]]-Table792226811241518[[#This Row],[2011 Census]],"..")</f>
        <v>..</v>
      </c>
      <c r="I203" s="91" t="str">
        <f>IFERROR((Table792226811241518[[#This Row],[Persons]]-Table792226811241518[[#This Row],[2011 Census]])/Table792226811241518[[#This Row],[2011 Census]],"..")</f>
        <v>..</v>
      </c>
    </row>
    <row r="204" spans="2:9" s="149" customFormat="1">
      <c r="B204" s="183" t="s">
        <v>94</v>
      </c>
      <c r="C204" s="575" t="s">
        <v>94</v>
      </c>
      <c r="D204" s="575" t="s">
        <v>94</v>
      </c>
      <c r="E204" s="575" t="s">
        <v>94</v>
      </c>
      <c r="F204" s="105" t="str">
        <f>IFERROR((Table792226811241518[[#This Row],[Persons]]/$C$15),"..")</f>
        <v>..</v>
      </c>
      <c r="G204" s="227" t="s">
        <v>94</v>
      </c>
      <c r="H204" s="106" t="str">
        <f>IFERROR(Table792226811241518[[#This Row],[Persons]]-Table792226811241518[[#This Row],[2011 Census]],"..")</f>
        <v>..</v>
      </c>
      <c r="I204" s="91" t="str">
        <f>IFERROR((Table792226811241518[[#This Row],[Persons]]-Table792226811241518[[#This Row],[2011 Census]])/Table792226811241518[[#This Row],[2011 Census]],"..")</f>
        <v>..</v>
      </c>
    </row>
    <row r="205" spans="2:9" s="149" customFormat="1">
      <c r="B205" s="183" t="s">
        <v>94</v>
      </c>
      <c r="C205" s="575" t="s">
        <v>94</v>
      </c>
      <c r="D205" s="575" t="s">
        <v>94</v>
      </c>
      <c r="E205" s="575" t="s">
        <v>94</v>
      </c>
      <c r="F205" s="105" t="str">
        <f>IFERROR((Table792226811241518[[#This Row],[Persons]]/$C$15),"..")</f>
        <v>..</v>
      </c>
      <c r="G205" s="227" t="s">
        <v>94</v>
      </c>
      <c r="H205" s="106" t="str">
        <f>IFERROR(Table792226811241518[[#This Row],[Persons]]-Table792226811241518[[#This Row],[2011 Census]],"..")</f>
        <v>..</v>
      </c>
      <c r="I205" s="91" t="str">
        <f>IFERROR((Table792226811241518[[#This Row],[Persons]]-Table792226811241518[[#This Row],[2011 Census]])/Table792226811241518[[#This Row],[2011 Census]],"..")</f>
        <v>..</v>
      </c>
    </row>
    <row r="206" spans="2:9" s="149" customFormat="1">
      <c r="B206" s="183" t="s">
        <v>94</v>
      </c>
      <c r="C206" s="575" t="s">
        <v>94</v>
      </c>
      <c r="D206" s="575" t="s">
        <v>94</v>
      </c>
      <c r="E206" s="575" t="s">
        <v>94</v>
      </c>
      <c r="F206" s="105" t="str">
        <f>IFERROR((Table792226811241518[[#This Row],[Persons]]/$C$15),"..")</f>
        <v>..</v>
      </c>
      <c r="G206" s="227" t="s">
        <v>94</v>
      </c>
      <c r="H206" s="106" t="str">
        <f>IFERROR(Table792226811241518[[#This Row],[Persons]]-Table792226811241518[[#This Row],[2011 Census]],"..")</f>
        <v>..</v>
      </c>
      <c r="I206" s="91" t="str">
        <f>IFERROR((Table792226811241518[[#This Row],[Persons]]-Table792226811241518[[#This Row],[2011 Census]])/Table792226811241518[[#This Row],[2011 Census]],"..")</f>
        <v>..</v>
      </c>
    </row>
    <row r="207" spans="2:9" ht="15.75">
      <c r="B207" s="108" t="s">
        <v>72</v>
      </c>
      <c r="C207" s="112" t="s">
        <v>304</v>
      </c>
      <c r="D207" s="112" t="s">
        <v>305</v>
      </c>
      <c r="E207" s="110">
        <f>C15</f>
        <v>166</v>
      </c>
      <c r="F207" s="111" t="s">
        <v>22</v>
      </c>
      <c r="G207" s="110">
        <f>E15</f>
        <v>180</v>
      </c>
      <c r="H207" s="112">
        <f>Table792226811241518[[#Totals],[Persons]]-Table792226811241518[[#Totals],[2011 Census]]</f>
        <v>-14</v>
      </c>
      <c r="I207" s="616">
        <f>SUM((Table792226811241518[[#Totals],[Persons]]-Table792226811241518[[#Totals],[2011 Census]])/Table792226811241518[[#Totals],[2011 Census]])</f>
        <v>-7.7777777777777779E-2</v>
      </c>
    </row>
    <row r="208" spans="2:9">
      <c r="B208" s="389"/>
    </row>
    <row r="209" spans="2:10" ht="23.25">
      <c r="B209" s="127" t="s">
        <v>671</v>
      </c>
    </row>
    <row r="210" spans="2:10" ht="15.75">
      <c r="B210" s="150" t="s">
        <v>827</v>
      </c>
    </row>
    <row r="211" spans="2:10" ht="25.5">
      <c r="B211" s="173" t="s">
        <v>64</v>
      </c>
      <c r="C211" s="222" t="s">
        <v>66</v>
      </c>
      <c r="D211" s="222" t="s">
        <v>67</v>
      </c>
      <c r="E211" s="222" t="s">
        <v>58</v>
      </c>
      <c r="F211" s="233" t="s">
        <v>68</v>
      </c>
      <c r="G211" s="233" t="s">
        <v>24</v>
      </c>
      <c r="H211" s="233" t="s">
        <v>25</v>
      </c>
      <c r="I211" s="233" t="s">
        <v>69</v>
      </c>
      <c r="J211" s="233" t="s">
        <v>27</v>
      </c>
    </row>
    <row r="212" spans="2:10">
      <c r="B212" s="573" t="s">
        <v>164</v>
      </c>
      <c r="C212" s="574">
        <v>83</v>
      </c>
      <c r="D212" s="574">
        <v>0</v>
      </c>
      <c r="E212" s="574">
        <v>0</v>
      </c>
      <c r="F212" s="234">
        <v>16</v>
      </c>
      <c r="G212" s="235">
        <v>17</v>
      </c>
      <c r="H212" s="235">
        <v>25</v>
      </c>
      <c r="I212" s="236">
        <v>27</v>
      </c>
      <c r="J212" s="617">
        <v>6</v>
      </c>
    </row>
    <row r="213" spans="2:10">
      <c r="B213" s="183" t="s">
        <v>162</v>
      </c>
      <c r="C213" s="575">
        <v>37</v>
      </c>
      <c r="D213" s="575">
        <v>0</v>
      </c>
      <c r="E213" s="575">
        <v>0</v>
      </c>
      <c r="F213" s="237">
        <v>8</v>
      </c>
      <c r="G213" s="238">
        <v>10</v>
      </c>
      <c r="H213" s="238">
        <v>9</v>
      </c>
      <c r="I213" s="239">
        <v>9</v>
      </c>
      <c r="J213" s="618">
        <v>3</v>
      </c>
    </row>
    <row r="214" spans="2:10">
      <c r="B214" s="573" t="s">
        <v>150</v>
      </c>
      <c r="C214" s="574">
        <v>30</v>
      </c>
      <c r="D214" s="574">
        <v>0</v>
      </c>
      <c r="E214" s="574">
        <v>0</v>
      </c>
      <c r="F214" s="240">
        <v>9</v>
      </c>
      <c r="G214" s="241">
        <v>10</v>
      </c>
      <c r="H214" s="241">
        <v>12</v>
      </c>
      <c r="I214" s="242">
        <v>4</v>
      </c>
      <c r="J214" s="619">
        <v>0</v>
      </c>
    </row>
    <row r="215" spans="2:10">
      <c r="B215" s="183" t="s">
        <v>149</v>
      </c>
      <c r="C215" s="575">
        <v>9</v>
      </c>
      <c r="D215" s="575">
        <v>0</v>
      </c>
      <c r="E215" s="575">
        <v>0</v>
      </c>
      <c r="F215" s="237">
        <v>0</v>
      </c>
      <c r="G215" s="238">
        <v>0</v>
      </c>
      <c r="H215" s="238">
        <v>0</v>
      </c>
      <c r="I215" s="239">
        <v>3</v>
      </c>
      <c r="J215" s="618">
        <v>0</v>
      </c>
    </row>
    <row r="216" spans="2:10">
      <c r="B216" s="573" t="s">
        <v>151</v>
      </c>
      <c r="C216" s="574">
        <v>4</v>
      </c>
      <c r="D216" s="574">
        <v>0</v>
      </c>
      <c r="E216" s="574">
        <v>0</v>
      </c>
      <c r="F216" s="240">
        <v>0</v>
      </c>
      <c r="G216" s="241">
        <v>0</v>
      </c>
      <c r="H216" s="241">
        <v>0</v>
      </c>
      <c r="I216" s="242">
        <v>0</v>
      </c>
      <c r="J216" s="619">
        <v>0</v>
      </c>
    </row>
    <row r="217" spans="2:10">
      <c r="B217" s="183" t="s">
        <v>94</v>
      </c>
      <c r="C217" s="575" t="s">
        <v>94</v>
      </c>
      <c r="D217" s="575" t="s">
        <v>94</v>
      </c>
      <c r="E217" s="575" t="s">
        <v>94</v>
      </c>
      <c r="F217" s="237" t="s">
        <v>94</v>
      </c>
      <c r="G217" s="238" t="s">
        <v>94</v>
      </c>
      <c r="H217" s="238" t="s">
        <v>94</v>
      </c>
      <c r="I217" s="239" t="s">
        <v>94</v>
      </c>
      <c r="J217" s="618" t="s">
        <v>94</v>
      </c>
    </row>
    <row r="218" spans="2:10">
      <c r="B218" s="183" t="s">
        <v>94</v>
      </c>
      <c r="C218" s="575" t="s">
        <v>94</v>
      </c>
      <c r="D218" s="575" t="s">
        <v>94</v>
      </c>
      <c r="E218" s="575" t="s">
        <v>94</v>
      </c>
      <c r="F218" s="237" t="s">
        <v>94</v>
      </c>
      <c r="G218" s="238" t="s">
        <v>94</v>
      </c>
      <c r="H218" s="238" t="s">
        <v>94</v>
      </c>
      <c r="I218" s="239" t="s">
        <v>94</v>
      </c>
      <c r="J218" s="618" t="s">
        <v>94</v>
      </c>
    </row>
    <row r="219" spans="2:10">
      <c r="B219" s="183" t="s">
        <v>94</v>
      </c>
      <c r="C219" s="575" t="s">
        <v>94</v>
      </c>
      <c r="D219" s="575" t="s">
        <v>94</v>
      </c>
      <c r="E219" s="575" t="s">
        <v>94</v>
      </c>
      <c r="F219" s="237" t="s">
        <v>94</v>
      </c>
      <c r="G219" s="238" t="s">
        <v>94</v>
      </c>
      <c r="H219" s="238" t="s">
        <v>94</v>
      </c>
      <c r="I219" s="239" t="s">
        <v>94</v>
      </c>
      <c r="J219" s="618" t="s">
        <v>94</v>
      </c>
    </row>
    <row r="220" spans="2:10">
      <c r="B220" s="183" t="s">
        <v>94</v>
      </c>
      <c r="C220" s="575" t="s">
        <v>94</v>
      </c>
      <c r="D220" s="575" t="s">
        <v>94</v>
      </c>
      <c r="E220" s="575" t="s">
        <v>94</v>
      </c>
      <c r="F220" s="237" t="s">
        <v>94</v>
      </c>
      <c r="G220" s="238" t="s">
        <v>94</v>
      </c>
      <c r="H220" s="238" t="s">
        <v>94</v>
      </c>
      <c r="I220" s="239" t="s">
        <v>94</v>
      </c>
      <c r="J220" s="618" t="s">
        <v>94</v>
      </c>
    </row>
    <row r="221" spans="2:10">
      <c r="B221" s="183" t="s">
        <v>94</v>
      </c>
      <c r="C221" s="575" t="s">
        <v>94</v>
      </c>
      <c r="D221" s="575" t="s">
        <v>94</v>
      </c>
      <c r="E221" s="575" t="s">
        <v>94</v>
      </c>
      <c r="F221" s="237" t="s">
        <v>94</v>
      </c>
      <c r="G221" s="238" t="s">
        <v>94</v>
      </c>
      <c r="H221" s="238" t="s">
        <v>94</v>
      </c>
      <c r="I221" s="239" t="s">
        <v>94</v>
      </c>
      <c r="J221" s="618" t="s">
        <v>94</v>
      </c>
    </row>
    <row r="222" spans="2:10">
      <c r="B222" s="183" t="s">
        <v>94</v>
      </c>
      <c r="C222" s="575" t="s">
        <v>94</v>
      </c>
      <c r="D222" s="575" t="s">
        <v>94</v>
      </c>
      <c r="E222" s="575" t="s">
        <v>94</v>
      </c>
      <c r="F222" s="237" t="s">
        <v>94</v>
      </c>
      <c r="G222" s="238" t="s">
        <v>94</v>
      </c>
      <c r="H222" s="238" t="s">
        <v>94</v>
      </c>
      <c r="I222" s="239" t="s">
        <v>94</v>
      </c>
      <c r="J222" s="618" t="s">
        <v>94</v>
      </c>
    </row>
    <row r="223" spans="2:10">
      <c r="B223" s="183" t="s">
        <v>94</v>
      </c>
      <c r="C223" s="575" t="s">
        <v>94</v>
      </c>
      <c r="D223" s="575" t="s">
        <v>94</v>
      </c>
      <c r="E223" s="575" t="s">
        <v>94</v>
      </c>
      <c r="F223" s="237" t="s">
        <v>94</v>
      </c>
      <c r="G223" s="238" t="s">
        <v>94</v>
      </c>
      <c r="H223" s="238" t="s">
        <v>94</v>
      </c>
      <c r="I223" s="239" t="s">
        <v>94</v>
      </c>
      <c r="J223" s="618" t="s">
        <v>94</v>
      </c>
    </row>
    <row r="224" spans="2:10">
      <c r="B224" s="183" t="s">
        <v>94</v>
      </c>
      <c r="C224" s="575" t="s">
        <v>94</v>
      </c>
      <c r="D224" s="575" t="s">
        <v>94</v>
      </c>
      <c r="E224" s="575" t="s">
        <v>94</v>
      </c>
      <c r="F224" s="237" t="s">
        <v>94</v>
      </c>
      <c r="G224" s="238" t="s">
        <v>94</v>
      </c>
      <c r="H224" s="238" t="s">
        <v>94</v>
      </c>
      <c r="I224" s="239" t="s">
        <v>94</v>
      </c>
      <c r="J224" s="618" t="s">
        <v>94</v>
      </c>
    </row>
    <row r="225" spans="2:11">
      <c r="B225" s="183" t="s">
        <v>94</v>
      </c>
      <c r="C225" s="575" t="s">
        <v>94</v>
      </c>
      <c r="D225" s="575" t="s">
        <v>94</v>
      </c>
      <c r="E225" s="575" t="s">
        <v>94</v>
      </c>
      <c r="F225" s="237" t="s">
        <v>94</v>
      </c>
      <c r="G225" s="238" t="s">
        <v>94</v>
      </c>
      <c r="H225" s="238" t="s">
        <v>94</v>
      </c>
      <c r="I225" s="239" t="s">
        <v>94</v>
      </c>
      <c r="J225" s="618" t="s">
        <v>94</v>
      </c>
    </row>
    <row r="226" spans="2:11">
      <c r="B226" s="183" t="s">
        <v>94</v>
      </c>
      <c r="C226" s="575" t="s">
        <v>94</v>
      </c>
      <c r="D226" s="575" t="s">
        <v>94</v>
      </c>
      <c r="E226" s="575" t="s">
        <v>94</v>
      </c>
      <c r="F226" s="237" t="s">
        <v>94</v>
      </c>
      <c r="G226" s="238" t="s">
        <v>94</v>
      </c>
      <c r="H226" s="238" t="s">
        <v>94</v>
      </c>
      <c r="I226" s="239" t="s">
        <v>94</v>
      </c>
      <c r="J226" s="618" t="s">
        <v>94</v>
      </c>
    </row>
    <row r="227" spans="2:11">
      <c r="B227" s="183" t="s">
        <v>94</v>
      </c>
      <c r="C227" s="575" t="s">
        <v>94</v>
      </c>
      <c r="D227" s="575" t="s">
        <v>94</v>
      </c>
      <c r="E227" s="575" t="s">
        <v>94</v>
      </c>
      <c r="F227" s="237" t="s">
        <v>94</v>
      </c>
      <c r="G227" s="238" t="s">
        <v>94</v>
      </c>
      <c r="H227" s="238" t="s">
        <v>94</v>
      </c>
      <c r="I227" s="239" t="s">
        <v>94</v>
      </c>
      <c r="J227" s="618" t="s">
        <v>94</v>
      </c>
    </row>
    <row r="228" spans="2:11">
      <c r="B228" s="183" t="s">
        <v>94</v>
      </c>
      <c r="C228" s="575" t="s">
        <v>94</v>
      </c>
      <c r="D228" s="575" t="s">
        <v>94</v>
      </c>
      <c r="E228" s="575" t="s">
        <v>94</v>
      </c>
      <c r="F228" s="237" t="s">
        <v>94</v>
      </c>
      <c r="G228" s="238" t="s">
        <v>94</v>
      </c>
      <c r="H228" s="238" t="s">
        <v>94</v>
      </c>
      <c r="I228" s="239" t="s">
        <v>94</v>
      </c>
      <c r="J228" s="618" t="s">
        <v>94</v>
      </c>
    </row>
    <row r="229" spans="2:11">
      <c r="B229" s="183" t="s">
        <v>94</v>
      </c>
      <c r="C229" s="575" t="s">
        <v>94</v>
      </c>
      <c r="D229" s="575" t="s">
        <v>94</v>
      </c>
      <c r="E229" s="575" t="s">
        <v>94</v>
      </c>
      <c r="F229" s="237" t="s">
        <v>94</v>
      </c>
      <c r="G229" s="238" t="s">
        <v>94</v>
      </c>
      <c r="H229" s="238" t="s">
        <v>94</v>
      </c>
      <c r="I229" s="239" t="s">
        <v>94</v>
      </c>
      <c r="J229" s="618" t="s">
        <v>94</v>
      </c>
    </row>
    <row r="230" spans="2:11">
      <c r="B230" s="183" t="s">
        <v>94</v>
      </c>
      <c r="C230" s="575" t="s">
        <v>94</v>
      </c>
      <c r="D230" s="575" t="s">
        <v>94</v>
      </c>
      <c r="E230" s="575" t="s">
        <v>94</v>
      </c>
      <c r="F230" s="237" t="s">
        <v>94</v>
      </c>
      <c r="G230" s="238" t="s">
        <v>94</v>
      </c>
      <c r="H230" s="238" t="s">
        <v>94</v>
      </c>
      <c r="I230" s="239" t="s">
        <v>94</v>
      </c>
      <c r="J230" s="618" t="s">
        <v>94</v>
      </c>
    </row>
    <row r="231" spans="2:11">
      <c r="B231" s="183" t="s">
        <v>94</v>
      </c>
      <c r="C231" s="575" t="s">
        <v>94</v>
      </c>
      <c r="D231" s="575" t="s">
        <v>94</v>
      </c>
      <c r="E231" s="575" t="s">
        <v>94</v>
      </c>
      <c r="F231" s="237" t="s">
        <v>94</v>
      </c>
      <c r="G231" s="238" t="s">
        <v>94</v>
      </c>
      <c r="H231" s="238" t="s">
        <v>94</v>
      </c>
      <c r="I231" s="239" t="s">
        <v>94</v>
      </c>
      <c r="J231" s="618" t="s">
        <v>94</v>
      </c>
    </row>
    <row r="232" spans="2:11">
      <c r="B232" s="183" t="s">
        <v>94</v>
      </c>
      <c r="C232" s="575" t="s">
        <v>94</v>
      </c>
      <c r="D232" s="575" t="s">
        <v>94</v>
      </c>
      <c r="E232" s="575" t="s">
        <v>94</v>
      </c>
      <c r="F232" s="237" t="s">
        <v>94</v>
      </c>
      <c r="G232" s="238" t="s">
        <v>94</v>
      </c>
      <c r="H232" s="238" t="s">
        <v>94</v>
      </c>
      <c r="I232" s="239" t="s">
        <v>94</v>
      </c>
      <c r="J232" s="618" t="s">
        <v>94</v>
      </c>
    </row>
    <row r="233" spans="2:11">
      <c r="B233" s="183" t="s">
        <v>58</v>
      </c>
      <c r="C233" s="575">
        <v>5</v>
      </c>
      <c r="D233" s="575">
        <v>0</v>
      </c>
      <c r="E233" s="575">
        <v>0</v>
      </c>
      <c r="F233" s="237">
        <v>5</v>
      </c>
      <c r="G233" s="238">
        <v>0</v>
      </c>
      <c r="H233" s="238">
        <v>0</v>
      </c>
      <c r="I233" s="239">
        <v>0</v>
      </c>
      <c r="J233" s="618">
        <v>0</v>
      </c>
    </row>
    <row r="234" spans="2:11" ht="15">
      <c r="B234" s="620" t="s">
        <v>72</v>
      </c>
      <c r="C234" s="621">
        <f>C16</f>
        <v>166</v>
      </c>
      <c r="D234" s="621">
        <f>-C17</f>
        <v>0</v>
      </c>
      <c r="E234" s="621">
        <f>C18</f>
        <v>0</v>
      </c>
      <c r="F234" s="622" t="s">
        <v>184</v>
      </c>
      <c r="G234" s="622" t="s">
        <v>185</v>
      </c>
      <c r="H234" s="622" t="s">
        <v>186</v>
      </c>
      <c r="I234" s="622" t="s">
        <v>187</v>
      </c>
      <c r="J234" s="622" t="s">
        <v>188</v>
      </c>
    </row>
    <row r="235" spans="2:11">
      <c r="J235" s="180"/>
    </row>
    <row r="237" spans="2:11" ht="15.75">
      <c r="K237" s="285" t="s">
        <v>642</v>
      </c>
    </row>
    <row r="238" spans="2:11" ht="15.75">
      <c r="B238" s="499" t="s">
        <v>857</v>
      </c>
      <c r="C238" s="500"/>
      <c r="D238" s="500"/>
      <c r="E238" s="500"/>
      <c r="F238" s="500"/>
      <c r="G238" s="500"/>
      <c r="H238" s="500"/>
      <c r="I238" s="500"/>
      <c r="J238" s="501"/>
    </row>
    <row r="239" spans="2:11" ht="15.75">
      <c r="B239" s="502" t="s">
        <v>424</v>
      </c>
      <c r="C239" s="503"/>
      <c r="D239" s="503"/>
      <c r="E239" s="503"/>
      <c r="F239" s="503"/>
      <c r="G239" s="503"/>
      <c r="H239" s="503"/>
      <c r="I239" s="503"/>
      <c r="J239" s="504"/>
    </row>
    <row r="240" spans="2:11" ht="15.75">
      <c r="B240" s="505" t="s">
        <v>824</v>
      </c>
      <c r="C240" s="506"/>
      <c r="D240" s="506"/>
      <c r="E240" s="506"/>
      <c r="F240" s="506"/>
      <c r="G240" s="506"/>
      <c r="H240" s="506"/>
      <c r="I240" s="506"/>
      <c r="J240" s="507"/>
    </row>
  </sheetData>
  <sheetProtection algorithmName="SHA-512" hashValue="OZ/rXcmS+N1ywsuhr9BfoCu1QFjLL9CktxhbB0X3HPViMXVMNATNeK2+ws9vZWmUFhLirIg7yj6WFsFwCw7Q4A==" saltValue="2QbVNRhnVEvfcpknLqyxpg==" spinCount="100000" sheet="1" objects="1" scenarios="1"/>
  <mergeCells count="15">
    <mergeCell ref="J1:K1"/>
    <mergeCell ref="I30:J30"/>
    <mergeCell ref="I31:J31"/>
    <mergeCell ref="I32:J32"/>
    <mergeCell ref="I33:J33"/>
    <mergeCell ref="I34:J34"/>
    <mergeCell ref="I40:J40"/>
    <mergeCell ref="C168:F168"/>
    <mergeCell ref="I41:J41"/>
    <mergeCell ref="I42:J42"/>
    <mergeCell ref="I35:J35"/>
    <mergeCell ref="I36:J36"/>
    <mergeCell ref="I37:J37"/>
    <mergeCell ref="I38:J38"/>
    <mergeCell ref="I39:J39"/>
  </mergeCells>
  <hyperlinks>
    <hyperlink ref="J1:K1" location="'Index '!A1" display="Back to Index"/>
    <hyperlink ref="K237" location="'3.4 Belyuen'!K1" display="Back to top"/>
  </hyperlinks>
  <pageMargins left="0.3543307086614173" right="3.937007874015748E-2" top="0.51181102362204722" bottom="0.3543307086614173" header="0.11811023622047244" footer="0.11811023622047244"/>
  <pageSetup paperSize="9" scale="57" fitToHeight="10" orientation="portrait" horizontalDpi="300" verticalDpi="300" r:id="rId1"/>
  <headerFooter differentFirst="1" alignWithMargins="0">
    <oddHeader>&amp;L&amp;"Helvetica Bold,Bold"&amp;18&amp;K000000X LGA (Continued)</oddHeader>
  </headerFooter>
  <drawing r:id="rId2"/>
  <tableParts count="6">
    <tablePart r:id="rId3"/>
    <tablePart r:id="rId4"/>
    <tablePart r:id="rId5"/>
    <tablePart r:id="rId6"/>
    <tablePart r:id="rId7"/>
    <tablePart r:id="rId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240"/>
  <sheetViews>
    <sheetView showGridLines="0" zoomScaleNormal="100" zoomScaleSheetLayoutView="100" zoomScalePageLayoutView="75" workbookViewId="0">
      <selection activeCell="G33" sqref="G33"/>
    </sheetView>
  </sheetViews>
  <sheetFormatPr defaultColWidth="15.625" defaultRowHeight="12.75"/>
  <cols>
    <col min="1" max="1" width="5.875" style="118" customWidth="1"/>
    <col min="2" max="2" width="41.5" style="118" customWidth="1"/>
    <col min="3" max="11" width="10.875" style="118" customWidth="1"/>
    <col min="12" max="14" width="15.625" style="118" customWidth="1"/>
    <col min="15" max="18" width="15.625" style="118"/>
    <col min="19" max="28" width="15.625" style="118" customWidth="1"/>
    <col min="29" max="16384" width="15.625" style="118"/>
  </cols>
  <sheetData>
    <row r="1" spans="2:11" ht="15.75">
      <c r="B1" s="122"/>
      <c r="C1" s="122"/>
      <c r="D1" s="122"/>
      <c r="E1" s="122"/>
      <c r="J1" s="1229" t="s">
        <v>359</v>
      </c>
      <c r="K1" s="1229"/>
    </row>
    <row r="2" spans="2:11" ht="30">
      <c r="B2" s="333" t="s">
        <v>883</v>
      </c>
      <c r="C2" s="120"/>
      <c r="D2" s="120"/>
      <c r="E2" s="120"/>
      <c r="F2" s="120"/>
      <c r="G2" s="121"/>
      <c r="H2" s="121"/>
      <c r="I2" s="121"/>
      <c r="J2" s="121"/>
      <c r="K2" s="121"/>
    </row>
    <row r="3" spans="2:11">
      <c r="B3" s="122"/>
      <c r="C3" s="122"/>
      <c r="D3" s="122"/>
      <c r="E3" s="122"/>
      <c r="F3" s="122"/>
    </row>
    <row r="4" spans="2:11">
      <c r="B4" s="122"/>
      <c r="C4" s="122"/>
      <c r="D4" s="122"/>
      <c r="E4" s="122"/>
      <c r="F4" s="122"/>
    </row>
    <row r="5" spans="2:11">
      <c r="B5" s="123"/>
      <c r="C5" s="123"/>
      <c r="D5" s="123"/>
      <c r="E5" s="122"/>
      <c r="F5" s="122"/>
    </row>
    <row r="6" spans="2:11" ht="15">
      <c r="B6" s="124" t="s">
        <v>0</v>
      </c>
      <c r="C6" s="125" t="s">
        <v>1</v>
      </c>
      <c r="D6" s="123"/>
      <c r="E6" s="122"/>
      <c r="F6" s="122"/>
    </row>
    <row r="7" spans="2:11" ht="15">
      <c r="B7" s="126" t="s">
        <v>2</v>
      </c>
      <c r="C7" s="125">
        <f>D16</f>
        <v>0.92374727668845313</v>
      </c>
      <c r="D7" s="123"/>
      <c r="E7" s="122"/>
      <c r="F7" s="122"/>
    </row>
    <row r="8" spans="2:11" ht="15">
      <c r="B8" s="126" t="s">
        <v>3</v>
      </c>
      <c r="C8" s="125">
        <f>D18</f>
        <v>4.7657952069716777E-2</v>
      </c>
      <c r="D8" s="123"/>
      <c r="E8" s="122"/>
      <c r="F8" s="122"/>
    </row>
    <row r="9" spans="2:11" ht="15">
      <c r="B9" s="126" t="s">
        <v>4</v>
      </c>
      <c r="C9" s="125">
        <f>D19</f>
        <v>1.8790849673202614E-2</v>
      </c>
      <c r="D9" s="123"/>
      <c r="E9" s="122"/>
      <c r="F9" s="122"/>
    </row>
    <row r="10" spans="2:11" ht="15">
      <c r="B10" s="126"/>
      <c r="C10" s="125"/>
      <c r="D10" s="123"/>
      <c r="E10" s="122"/>
      <c r="F10" s="122"/>
    </row>
    <row r="11" spans="2:11" ht="15">
      <c r="B11" s="126" t="s">
        <v>5</v>
      </c>
      <c r="C11" s="125">
        <f>D20</f>
        <v>1.0076252723311547E-2</v>
      </c>
      <c r="D11" s="123"/>
      <c r="E11" s="122"/>
      <c r="F11" s="122"/>
    </row>
    <row r="12" spans="2:11" ht="23.25">
      <c r="B12" s="127" t="s">
        <v>672</v>
      </c>
    </row>
    <row r="14" spans="2:11" s="128" customFormat="1" ht="25.5">
      <c r="B14" s="252" t="s">
        <v>0</v>
      </c>
      <c r="C14" s="233" t="s">
        <v>6</v>
      </c>
      <c r="D14" s="233" t="s">
        <v>1</v>
      </c>
      <c r="E14" s="233" t="s">
        <v>7</v>
      </c>
      <c r="F14" s="233" t="s">
        <v>65</v>
      </c>
      <c r="G14" s="233" t="s">
        <v>8</v>
      </c>
    </row>
    <row r="15" spans="2:11" s="129" customFormat="1">
      <c r="B15" s="262" t="s">
        <v>9</v>
      </c>
      <c r="C15" s="263">
        <v>3672</v>
      </c>
      <c r="D15" s="54">
        <f>SUM(C15/C15)</f>
        <v>1</v>
      </c>
      <c r="E15" s="263">
        <v>3719</v>
      </c>
      <c r="F15" s="55">
        <f>(Table47911131572125787[[#This Row],[Persons]]-Table47911131572125787[[#This Row],[2011 Census]])</f>
        <v>-47</v>
      </c>
      <c r="G15" s="54">
        <f>(Table47911131572125787[[#This Row],[Change 2011-2016]]/Table47911131572125787[[#This Row],[2011 Census]])</f>
        <v>-1.2637805861790804E-2</v>
      </c>
    </row>
    <row r="16" spans="2:11" s="129" customFormat="1">
      <c r="B16" s="262" t="s">
        <v>2</v>
      </c>
      <c r="C16" s="263">
        <v>3392</v>
      </c>
      <c r="D16" s="54">
        <f>SUM(C16/C15)</f>
        <v>0.92374727668845313</v>
      </c>
      <c r="E16" s="264">
        <v>3544</v>
      </c>
      <c r="F16" s="55">
        <f>(Table47911131572125787[[#This Row],[Persons]]-Table47911131572125787[[#This Row],[2011 Census]])</f>
        <v>-152</v>
      </c>
      <c r="G16" s="54">
        <f>(Table47911131572125787[[#This Row],[Change 2011-2016]]/Table47911131572125787[[#This Row],[2011 Census]])</f>
        <v>-4.2889390519187359E-2</v>
      </c>
    </row>
    <row r="17" spans="2:10" s="129" customFormat="1">
      <c r="B17" s="262" t="s">
        <v>362</v>
      </c>
      <c r="C17" s="263">
        <v>101</v>
      </c>
      <c r="D17" s="54">
        <f>SUM(C17/C15)</f>
        <v>2.750544662309368E-2</v>
      </c>
      <c r="E17" s="264">
        <v>78</v>
      </c>
      <c r="F17" s="55">
        <f>(Table47911131572125787[[#This Row],[Persons]]-Table47911131572125787[[#This Row],[2011 Census]])</f>
        <v>23</v>
      </c>
      <c r="G17" s="54">
        <f>(Table47911131572125787[[#This Row],[Change 2011-2016]]/Table47911131572125787[[#This Row],[2011 Census]])</f>
        <v>0.29487179487179488</v>
      </c>
    </row>
    <row r="18" spans="2:10" s="129" customFormat="1">
      <c r="B18" s="262" t="s">
        <v>3</v>
      </c>
      <c r="C18" s="263">
        <v>175</v>
      </c>
      <c r="D18" s="54">
        <f>SUM(C18/C15)</f>
        <v>4.7657952069716777E-2</v>
      </c>
      <c r="E18" s="264">
        <v>95</v>
      </c>
      <c r="F18" s="55">
        <f>(Table47911131572125787[[#This Row],[Persons]]-Table47911131572125787[[#This Row],[2011 Census]])</f>
        <v>80</v>
      </c>
      <c r="G18" s="54">
        <f>(Table47911131572125787[[#This Row],[Change 2011-2016]]/Table47911131572125787[[#This Row],[2011 Census]])</f>
        <v>0.84210526315789469</v>
      </c>
    </row>
    <row r="19" spans="2:10" s="129" customFormat="1">
      <c r="B19" s="262" t="s">
        <v>4</v>
      </c>
      <c r="C19" s="263">
        <v>69</v>
      </c>
      <c r="D19" s="54">
        <f>SUM(C19/C15)</f>
        <v>1.8790849673202614E-2</v>
      </c>
      <c r="E19" s="264">
        <v>54</v>
      </c>
      <c r="F19" s="55">
        <f>(Table47911131572125787[[#This Row],[Persons]]-Table47911131572125787[[#This Row],[2011 Census]])</f>
        <v>15</v>
      </c>
      <c r="G19" s="54">
        <f>(Table47911131572125787[[#This Row],[Change 2011-2016]]/Table47911131572125787[[#This Row],[2011 Census]])</f>
        <v>0.27777777777777779</v>
      </c>
    </row>
    <row r="20" spans="2:10" s="129" customFormat="1">
      <c r="B20" s="262" t="s">
        <v>5</v>
      </c>
      <c r="C20" s="263">
        <v>37</v>
      </c>
      <c r="D20" s="54">
        <f>SUM(C20/C15)</f>
        <v>1.0076252723311547E-2</v>
      </c>
      <c r="E20" s="264">
        <v>24</v>
      </c>
      <c r="F20" s="55">
        <f>(Table47911131572125787[[#This Row],[Persons]]-Table47911131572125787[[#This Row],[2011 Census]])</f>
        <v>13</v>
      </c>
      <c r="G20" s="54">
        <f>(Table47911131572125787[[#This Row],[Change 2011-2016]]/Table47911131572125787[[#This Row],[2011 Census]])</f>
        <v>0.54166666666666663</v>
      </c>
    </row>
    <row r="21" spans="2:10" s="129" customFormat="1">
      <c r="B21" s="262" t="s">
        <v>11</v>
      </c>
      <c r="C21" s="263">
        <v>35</v>
      </c>
      <c r="D21" s="54">
        <f>SUM(C21/C15)</f>
        <v>9.5315904139433548E-3</v>
      </c>
      <c r="E21" s="264">
        <v>43</v>
      </c>
      <c r="F21" s="55">
        <f>(Table47911131572125787[[#This Row],[Persons]]-Table47911131572125787[[#This Row],[2011 Census]])</f>
        <v>-8</v>
      </c>
      <c r="G21" s="54">
        <f>(Table47911131572125787[[#This Row],[Change 2011-2016]]/Table47911131572125787[[#This Row],[2011 Census]])</f>
        <v>-0.18604651162790697</v>
      </c>
    </row>
    <row r="22" spans="2:10" s="129" customFormat="1">
      <c r="B22" s="262" t="s">
        <v>12</v>
      </c>
      <c r="C22" s="623">
        <v>3089</v>
      </c>
      <c r="D22" s="54">
        <f>SUM(C22/C15)</f>
        <v>0.84123093681917216</v>
      </c>
      <c r="E22" s="264">
        <v>2975</v>
      </c>
      <c r="F22" s="55">
        <f>(Table47911131572125787[[#This Row],[Persons]]-Table47911131572125787[[#This Row],[2011 Census]])</f>
        <v>114</v>
      </c>
      <c r="G22" s="54">
        <f>(Table47911131572125787[[#This Row],[Change 2011-2016]]/Table47911131572125787[[#This Row],[2011 Census]])</f>
        <v>3.8319327731092437E-2</v>
      </c>
    </row>
    <row r="23" spans="2:10" s="129" customFormat="1">
      <c r="B23" s="262" t="s">
        <v>13</v>
      </c>
      <c r="C23" s="263">
        <v>2880</v>
      </c>
      <c r="D23" s="54">
        <f>SUM(C23/C15)</f>
        <v>0.78431372549019607</v>
      </c>
      <c r="E23" s="264">
        <v>2716</v>
      </c>
      <c r="F23" s="55">
        <f>(Table47911131572125787[[#This Row],[Persons]]-Table47911131572125787[[#This Row],[2011 Census]])</f>
        <v>164</v>
      </c>
      <c r="G23" s="54">
        <f>(Table47911131572125787[[#This Row],[Change 2011-2016]]/Table47911131572125787[[#This Row],[2011 Census]])</f>
        <v>6.0382916053019146E-2</v>
      </c>
    </row>
    <row r="24" spans="2:10" s="129" customFormat="1">
      <c r="B24" s="262" t="s">
        <v>869</v>
      </c>
      <c r="C24" s="263">
        <v>31</v>
      </c>
      <c r="D24" s="54">
        <f>SUM(C24/C15)</f>
        <v>8.4422657952069723E-3</v>
      </c>
      <c r="E24" s="264">
        <v>19</v>
      </c>
      <c r="F24" s="55">
        <f>(Table47911131572125787[[#This Row],[Persons]]-Table47911131572125787[[#This Row],[2011 Census]])</f>
        <v>12</v>
      </c>
      <c r="G24" s="54">
        <f>(Table47911131572125787[[#This Row],[Change 2011-2016]]/Table47911131572125787[[#This Row],[2011 Census]])</f>
        <v>0.63157894736842102</v>
      </c>
    </row>
    <row r="25" spans="2:10" s="129" customFormat="1" ht="15.95" customHeight="1">
      <c r="B25" s="262" t="s">
        <v>870</v>
      </c>
      <c r="C25" s="263">
        <v>11</v>
      </c>
      <c r="D25" s="54">
        <f>SUM(C25/C15)</f>
        <v>2.9956427015250544E-3</v>
      </c>
      <c r="E25" s="264">
        <v>10</v>
      </c>
      <c r="F25" s="55">
        <f>(Table47911131572125787[[#This Row],[Persons]]-Table47911131572125787[[#This Row],[2011 Census]])</f>
        <v>1</v>
      </c>
      <c r="G25" s="54">
        <f>(Table47911131572125787[[#This Row],[Change 2011-2016]]/Table47911131572125787[[#This Row],[2011 Census]])</f>
        <v>0.1</v>
      </c>
    </row>
    <row r="26" spans="2:10" s="129" customFormat="1">
      <c r="B26" s="349" t="s">
        <v>366</v>
      </c>
    </row>
    <row r="27" spans="2:10" s="129" customFormat="1"/>
    <row r="28" spans="2:10" s="129" customFormat="1" ht="23.25">
      <c r="B28" s="127" t="s">
        <v>673</v>
      </c>
      <c r="D28" s="131"/>
      <c r="E28" s="132"/>
      <c r="F28" s="132"/>
      <c r="G28" s="132"/>
    </row>
    <row r="29" spans="2:10" s="129" customFormat="1" ht="15.75">
      <c r="B29" s="133" t="s">
        <v>333</v>
      </c>
    </row>
    <row r="30" spans="2:10" s="128" customFormat="1" ht="25.5">
      <c r="B30" s="252" t="s">
        <v>14</v>
      </c>
      <c r="C30" s="252" t="s">
        <v>15</v>
      </c>
      <c r="D30" s="252" t="s">
        <v>16</v>
      </c>
      <c r="E30" s="252" t="s">
        <v>17</v>
      </c>
      <c r="F30" s="252" t="s">
        <v>18</v>
      </c>
      <c r="G30" s="252" t="s">
        <v>19</v>
      </c>
      <c r="H30" s="252" t="s">
        <v>20</v>
      </c>
      <c r="I30" s="624"/>
      <c r="J30" s="624"/>
    </row>
    <row r="31" spans="2:10" s="629" customFormat="1">
      <c r="B31" s="625" t="s">
        <v>73</v>
      </c>
      <c r="C31" s="626">
        <v>23</v>
      </c>
      <c r="D31" s="626">
        <v>21</v>
      </c>
      <c r="E31" s="626">
        <v>44</v>
      </c>
      <c r="F31" s="627">
        <f>IFERROR(Table552024686[[#This Row],[Persons 2016]]/$C$17,"..")</f>
        <v>0.43564356435643564</v>
      </c>
      <c r="G31" s="628">
        <v>29</v>
      </c>
      <c r="H31" s="627">
        <f>IFERROR((Table552024686[[#This Row],[Persons 2016]]-Table552024686[[#This Row],[Persons 2011]])/Table552024686[[#This Row],[Persons 2011]],"..")</f>
        <v>0.51724137931034486</v>
      </c>
    </row>
    <row r="32" spans="2:10" s="629" customFormat="1" ht="15.95" customHeight="1">
      <c r="B32" s="630" t="s">
        <v>92</v>
      </c>
      <c r="C32" s="254">
        <v>4</v>
      </c>
      <c r="D32" s="254">
        <v>11</v>
      </c>
      <c r="E32" s="254">
        <v>16</v>
      </c>
      <c r="F32" s="244">
        <f>IFERROR(Table552024686[[#This Row],[Persons 2016]]/$C$17,"..")</f>
        <v>0.15841584158415842</v>
      </c>
      <c r="G32" s="631">
        <v>16</v>
      </c>
      <c r="H32" s="244">
        <f>IFERROR((Table552024686[[#This Row],[Persons 2016]]-Table552024686[[#This Row],[Persons 2011]])/Table552024686[[#This Row],[Persons 2011]],"..")</f>
        <v>0</v>
      </c>
    </row>
    <row r="33" spans="2:10" s="629" customFormat="1">
      <c r="B33" s="630" t="s">
        <v>76</v>
      </c>
      <c r="C33" s="254">
        <v>4</v>
      </c>
      <c r="D33" s="254">
        <v>3</v>
      </c>
      <c r="E33" s="254">
        <v>7</v>
      </c>
      <c r="F33" s="244" t="s">
        <v>94</v>
      </c>
      <c r="G33" s="631" t="s">
        <v>94</v>
      </c>
      <c r="H33" s="244" t="s">
        <v>94</v>
      </c>
    </row>
    <row r="34" spans="2:10" s="629" customFormat="1">
      <c r="B34" s="630" t="s">
        <v>129</v>
      </c>
      <c r="C34" s="254">
        <v>0</v>
      </c>
      <c r="D34" s="254">
        <v>0</v>
      </c>
      <c r="E34" s="254">
        <v>5</v>
      </c>
      <c r="F34" s="244" t="s">
        <v>94</v>
      </c>
      <c r="G34" s="631" t="s">
        <v>94</v>
      </c>
      <c r="H34" s="244" t="s">
        <v>94</v>
      </c>
    </row>
    <row r="35" spans="2:10" s="629" customFormat="1">
      <c r="B35" s="630" t="s">
        <v>78</v>
      </c>
      <c r="C35" s="254">
        <v>3</v>
      </c>
      <c r="D35" s="254">
        <v>0</v>
      </c>
      <c r="E35" s="254">
        <v>5</v>
      </c>
      <c r="F35" s="244" t="s">
        <v>94</v>
      </c>
      <c r="G35" s="631" t="s">
        <v>94</v>
      </c>
      <c r="H35" s="244" t="s">
        <v>94</v>
      </c>
    </row>
    <row r="36" spans="2:10" s="629" customFormat="1">
      <c r="B36" s="630" t="s">
        <v>130</v>
      </c>
      <c r="C36" s="254">
        <v>3</v>
      </c>
      <c r="D36" s="254">
        <v>0</v>
      </c>
      <c r="E36" s="254">
        <v>4</v>
      </c>
      <c r="F36" s="244" t="s">
        <v>94</v>
      </c>
      <c r="G36" s="631" t="s">
        <v>94</v>
      </c>
      <c r="H36" s="244" t="s">
        <v>94</v>
      </c>
    </row>
    <row r="37" spans="2:10" s="629" customFormat="1">
      <c r="B37" s="630" t="s">
        <v>84</v>
      </c>
      <c r="C37" s="254">
        <v>3</v>
      </c>
      <c r="D37" s="254">
        <v>0</v>
      </c>
      <c r="E37" s="254">
        <v>3</v>
      </c>
      <c r="F37" s="244" t="s">
        <v>94</v>
      </c>
      <c r="G37" s="631" t="s">
        <v>94</v>
      </c>
      <c r="H37" s="244" t="s">
        <v>94</v>
      </c>
    </row>
    <row r="38" spans="2:10" s="629" customFormat="1">
      <c r="B38" s="630" t="s">
        <v>93</v>
      </c>
      <c r="C38" s="254">
        <v>0</v>
      </c>
      <c r="D38" s="254">
        <v>3</v>
      </c>
      <c r="E38" s="254">
        <v>3</v>
      </c>
      <c r="F38" s="244" t="s">
        <v>94</v>
      </c>
      <c r="G38" s="631" t="s">
        <v>94</v>
      </c>
      <c r="H38" s="244" t="s">
        <v>94</v>
      </c>
    </row>
    <row r="39" spans="2:10" s="632" customFormat="1">
      <c r="B39" s="630" t="s">
        <v>87</v>
      </c>
      <c r="C39" s="254">
        <v>3</v>
      </c>
      <c r="D39" s="254">
        <v>0</v>
      </c>
      <c r="E39" s="254">
        <v>3</v>
      </c>
      <c r="F39" s="244" t="s">
        <v>94</v>
      </c>
      <c r="G39" s="631" t="s">
        <v>94</v>
      </c>
      <c r="H39" s="244" t="s">
        <v>94</v>
      </c>
    </row>
    <row r="40" spans="2:10" s="632" customFormat="1">
      <c r="B40" s="630" t="s">
        <v>142</v>
      </c>
      <c r="C40" s="254">
        <v>0</v>
      </c>
      <c r="D40" s="254">
        <v>0</v>
      </c>
      <c r="E40" s="254">
        <v>0</v>
      </c>
      <c r="F40" s="244" t="s">
        <v>94</v>
      </c>
      <c r="G40" s="631" t="s">
        <v>94</v>
      </c>
      <c r="H40" s="244" t="s">
        <v>94</v>
      </c>
    </row>
    <row r="41" spans="2:10" s="632" customFormat="1">
      <c r="B41" s="633" t="s">
        <v>369</v>
      </c>
      <c r="C41" s="60">
        <v>9</v>
      </c>
      <c r="D41" s="60">
        <v>7</v>
      </c>
      <c r="E41" s="60">
        <v>13</v>
      </c>
      <c r="F41" s="244">
        <f>IFERROR(Table552024686[[#This Row],[Persons 2016]]/$C$17,"..")</f>
        <v>0.12871287128712872</v>
      </c>
      <c r="G41" s="634">
        <v>18</v>
      </c>
      <c r="H41" s="244">
        <f>IFERROR((Table552024686[[#This Row],[Persons 2016]]-Table552024686[[#This Row],[Persons 2011]])/Table552024686[[#This Row],[Persons 2011]],"..")</f>
        <v>-0.27777777777777779</v>
      </c>
    </row>
    <row r="42" spans="2:10" s="632" customFormat="1">
      <c r="B42" s="257" t="s">
        <v>21</v>
      </c>
      <c r="C42" s="258">
        <v>57</v>
      </c>
      <c r="D42" s="258">
        <v>47</v>
      </c>
      <c r="E42" s="259">
        <f>C17</f>
        <v>101</v>
      </c>
      <c r="F42" s="260">
        <f>IFERROR(Table552024686[[#This Row],[Persons 2016]]/$C$17,"..")</f>
        <v>1</v>
      </c>
      <c r="G42" s="635">
        <f>E17</f>
        <v>78</v>
      </c>
      <c r="H42" s="260">
        <f>IFERROR((Table552024686[[#This Row],[Persons 2016]]-Table552024686[[#This Row],[Persons 2011]])/Table552024686[[#This Row],[Persons 2011]],"..")</f>
        <v>0.29487179487179488</v>
      </c>
      <c r="I42" s="636"/>
      <c r="J42" s="636"/>
    </row>
    <row r="43" spans="2:10" s="129" customFormat="1">
      <c r="B43" s="349" t="s">
        <v>366</v>
      </c>
    </row>
    <row r="45" spans="2:10" ht="23.25">
      <c r="B45" s="127" t="s">
        <v>674</v>
      </c>
    </row>
    <row r="46" spans="2:10" ht="15.75">
      <c r="B46" s="138" t="s">
        <v>832</v>
      </c>
    </row>
    <row r="47" spans="2:10">
      <c r="B47" s="118" t="s">
        <v>871</v>
      </c>
    </row>
    <row r="48" spans="2:10">
      <c r="B48" s="266" t="s">
        <v>14</v>
      </c>
      <c r="C48" s="139" t="s">
        <v>23</v>
      </c>
      <c r="D48" s="139" t="s">
        <v>24</v>
      </c>
      <c r="E48" s="139" t="s">
        <v>25</v>
      </c>
      <c r="F48" s="139" t="s">
        <v>26</v>
      </c>
      <c r="G48" s="139" t="s">
        <v>27</v>
      </c>
      <c r="H48" s="267" t="s">
        <v>28</v>
      </c>
    </row>
    <row r="49" spans="2:8">
      <c r="B49" s="268" t="s">
        <v>73</v>
      </c>
      <c r="C49" s="269">
        <v>3</v>
      </c>
      <c r="D49" s="269">
        <v>3</v>
      </c>
      <c r="E49" s="269">
        <v>8</v>
      </c>
      <c r="F49" s="206">
        <v>21</v>
      </c>
      <c r="G49" s="269">
        <v>5</v>
      </c>
      <c r="H49" s="270">
        <v>44</v>
      </c>
    </row>
    <row r="50" spans="2:8">
      <c r="B50" s="271" t="s">
        <v>92</v>
      </c>
      <c r="C50" s="272">
        <v>0</v>
      </c>
      <c r="D50" s="272">
        <v>0</v>
      </c>
      <c r="E50" s="272">
        <v>5</v>
      </c>
      <c r="F50" s="204">
        <v>11</v>
      </c>
      <c r="G50" s="272">
        <v>3</v>
      </c>
      <c r="H50" s="273">
        <v>16</v>
      </c>
    </row>
    <row r="51" spans="2:8">
      <c r="B51" s="274" t="s">
        <v>76</v>
      </c>
      <c r="C51" s="269">
        <v>0</v>
      </c>
      <c r="D51" s="269">
        <v>0</v>
      </c>
      <c r="E51" s="269">
        <v>5</v>
      </c>
      <c r="F51" s="206">
        <v>0</v>
      </c>
      <c r="G51" s="269">
        <v>0</v>
      </c>
      <c r="H51" s="275">
        <v>7</v>
      </c>
    </row>
    <row r="52" spans="2:8">
      <c r="B52" s="276" t="s">
        <v>129</v>
      </c>
      <c r="C52" s="272">
        <v>0</v>
      </c>
      <c r="D52" s="272">
        <v>0</v>
      </c>
      <c r="E52" s="272">
        <v>5</v>
      </c>
      <c r="F52" s="204">
        <v>0</v>
      </c>
      <c r="G52" s="272">
        <v>0</v>
      </c>
      <c r="H52" s="273">
        <v>5</v>
      </c>
    </row>
    <row r="53" spans="2:8">
      <c r="B53" s="268" t="s">
        <v>78</v>
      </c>
      <c r="C53" s="269">
        <v>0</v>
      </c>
      <c r="D53" s="269">
        <v>0</v>
      </c>
      <c r="E53" s="269">
        <v>0</v>
      </c>
      <c r="F53" s="206">
        <v>3</v>
      </c>
      <c r="G53" s="269">
        <v>0</v>
      </c>
      <c r="H53" s="275">
        <v>5</v>
      </c>
    </row>
    <row r="54" spans="2:8">
      <c r="B54" s="271" t="s">
        <v>130</v>
      </c>
      <c r="C54" s="272">
        <v>0</v>
      </c>
      <c r="D54" s="272">
        <v>0</v>
      </c>
      <c r="E54" s="272">
        <v>0</v>
      </c>
      <c r="F54" s="204">
        <v>0</v>
      </c>
      <c r="G54" s="272">
        <v>0</v>
      </c>
      <c r="H54" s="273">
        <v>4</v>
      </c>
    </row>
    <row r="55" spans="2:8">
      <c r="B55" s="268" t="s">
        <v>84</v>
      </c>
      <c r="C55" s="269">
        <v>0</v>
      </c>
      <c r="D55" s="269">
        <v>0</v>
      </c>
      <c r="E55" s="269">
        <v>0</v>
      </c>
      <c r="F55" s="206">
        <v>0</v>
      </c>
      <c r="G55" s="269">
        <v>0</v>
      </c>
      <c r="H55" s="275">
        <v>3</v>
      </c>
    </row>
    <row r="56" spans="2:8">
      <c r="B56" s="271" t="s">
        <v>93</v>
      </c>
      <c r="C56" s="272">
        <v>0</v>
      </c>
      <c r="D56" s="272">
        <v>0</v>
      </c>
      <c r="E56" s="272">
        <v>3</v>
      </c>
      <c r="F56" s="204">
        <v>0</v>
      </c>
      <c r="G56" s="272">
        <v>0</v>
      </c>
      <c r="H56" s="273">
        <v>3</v>
      </c>
    </row>
    <row r="57" spans="2:8">
      <c r="B57" s="268" t="s">
        <v>87</v>
      </c>
      <c r="C57" s="269">
        <v>0</v>
      </c>
      <c r="D57" s="269">
        <v>0</v>
      </c>
      <c r="E57" s="269">
        <v>3</v>
      </c>
      <c r="F57" s="206">
        <v>0</v>
      </c>
      <c r="G57" s="269">
        <v>0</v>
      </c>
      <c r="H57" s="275">
        <v>3</v>
      </c>
    </row>
    <row r="58" spans="2:8">
      <c r="B58" s="276" t="s">
        <v>94</v>
      </c>
      <c r="C58" s="272" t="s">
        <v>94</v>
      </c>
      <c r="D58" s="272" t="s">
        <v>94</v>
      </c>
      <c r="E58" s="272" t="s">
        <v>94</v>
      </c>
      <c r="F58" s="204" t="s">
        <v>94</v>
      </c>
      <c r="G58" s="272" t="s">
        <v>94</v>
      </c>
      <c r="H58" s="273" t="s">
        <v>94</v>
      </c>
    </row>
    <row r="59" spans="2:8">
      <c r="B59" s="277" t="s">
        <v>29</v>
      </c>
      <c r="C59" s="141">
        <v>1049</v>
      </c>
      <c r="D59" s="141">
        <v>547</v>
      </c>
      <c r="E59" s="141">
        <v>1038</v>
      </c>
      <c r="F59" s="141">
        <v>620</v>
      </c>
      <c r="G59" s="141">
        <v>150</v>
      </c>
      <c r="H59" s="278">
        <v>3392</v>
      </c>
    </row>
    <row r="60" spans="2:8">
      <c r="B60" s="279" t="s">
        <v>30</v>
      </c>
      <c r="C60" s="142">
        <v>3</v>
      </c>
      <c r="D60" s="142">
        <v>3</v>
      </c>
      <c r="E60" s="142">
        <v>26</v>
      </c>
      <c r="F60" s="142">
        <v>35</v>
      </c>
      <c r="G60" s="593">
        <v>9</v>
      </c>
      <c r="H60" s="280">
        <v>69</v>
      </c>
    </row>
    <row r="61" spans="2:8">
      <c r="B61" s="281" t="s">
        <v>31</v>
      </c>
      <c r="C61" s="282">
        <v>0</v>
      </c>
      <c r="D61" s="282">
        <v>0</v>
      </c>
      <c r="E61" s="282">
        <v>21</v>
      </c>
      <c r="F61" s="282">
        <v>12</v>
      </c>
      <c r="G61" s="282">
        <v>4</v>
      </c>
      <c r="H61" s="283">
        <v>37</v>
      </c>
    </row>
    <row r="63" spans="2:8" ht="23.25">
      <c r="B63" s="127" t="s">
        <v>675</v>
      </c>
    </row>
    <row r="64" spans="2:8" ht="15.75">
      <c r="B64" s="138" t="s">
        <v>833</v>
      </c>
    </row>
    <row r="65" spans="2:8">
      <c r="B65" s="118" t="s">
        <v>843</v>
      </c>
    </row>
    <row r="66" spans="2:8">
      <c r="B66" s="266" t="s">
        <v>14</v>
      </c>
      <c r="C66" s="144" t="s">
        <v>23</v>
      </c>
      <c r="D66" s="144" t="s">
        <v>24</v>
      </c>
      <c r="E66" s="144" t="s">
        <v>25</v>
      </c>
      <c r="F66" s="144" t="s">
        <v>26</v>
      </c>
      <c r="G66" s="144" t="s">
        <v>27</v>
      </c>
      <c r="H66" s="421" t="s">
        <v>28</v>
      </c>
    </row>
    <row r="67" spans="2:8">
      <c r="B67" s="426" t="str">
        <f t="shared" ref="B67:B76" si="0">B49</f>
        <v>New Zealand</v>
      </c>
      <c r="C67" s="64">
        <f t="shared" ref="C67:C75" si="1">SUM(C49/H49)</f>
        <v>6.8181818181818177E-2</v>
      </c>
      <c r="D67" s="64">
        <f t="shared" ref="D67:D75" si="2">SUM(D49/H49)</f>
        <v>6.8181818181818177E-2</v>
      </c>
      <c r="E67" s="64">
        <f t="shared" ref="E67:E75" si="3">SUM(E49/H49)</f>
        <v>0.18181818181818182</v>
      </c>
      <c r="F67" s="64">
        <f t="shared" ref="F67:F75" si="4">SUM(F49/H49)</f>
        <v>0.47727272727272729</v>
      </c>
      <c r="G67" s="64">
        <f t="shared" ref="G67:G75" si="5">SUM(G49/H49)</f>
        <v>0.11363636363636363</v>
      </c>
      <c r="H67" s="293">
        <f t="shared" ref="H67:H75" si="6">H49</f>
        <v>44</v>
      </c>
    </row>
    <row r="68" spans="2:8">
      <c r="B68" s="424" t="str">
        <f t="shared" si="0"/>
        <v>England</v>
      </c>
      <c r="C68" s="54">
        <f t="shared" si="1"/>
        <v>0</v>
      </c>
      <c r="D68" s="54">
        <f t="shared" si="2"/>
        <v>0</v>
      </c>
      <c r="E68" s="54">
        <f t="shared" si="3"/>
        <v>0.3125</v>
      </c>
      <c r="F68" s="54">
        <f t="shared" si="4"/>
        <v>0.6875</v>
      </c>
      <c r="G68" s="54">
        <f t="shared" si="5"/>
        <v>0.1875</v>
      </c>
      <c r="H68" s="295">
        <f t="shared" si="6"/>
        <v>16</v>
      </c>
    </row>
    <row r="69" spans="2:8">
      <c r="B69" s="426" t="str">
        <f t="shared" si="0"/>
        <v>Philippines</v>
      </c>
      <c r="C69" s="64">
        <f t="shared" si="1"/>
        <v>0</v>
      </c>
      <c r="D69" s="64">
        <f t="shared" si="2"/>
        <v>0</v>
      </c>
      <c r="E69" s="64">
        <f t="shared" si="3"/>
        <v>0.7142857142857143</v>
      </c>
      <c r="F69" s="64">
        <f t="shared" si="4"/>
        <v>0</v>
      </c>
      <c r="G69" s="64">
        <f t="shared" si="5"/>
        <v>0</v>
      </c>
      <c r="H69" s="296">
        <f t="shared" si="6"/>
        <v>7</v>
      </c>
    </row>
    <row r="70" spans="2:8">
      <c r="B70" s="424" t="str">
        <f t="shared" si="0"/>
        <v>France</v>
      </c>
      <c r="C70" s="54">
        <f t="shared" si="1"/>
        <v>0</v>
      </c>
      <c r="D70" s="54">
        <f t="shared" si="2"/>
        <v>0</v>
      </c>
      <c r="E70" s="54">
        <f t="shared" si="3"/>
        <v>1</v>
      </c>
      <c r="F70" s="54">
        <f t="shared" si="4"/>
        <v>0</v>
      </c>
      <c r="G70" s="54">
        <f t="shared" si="5"/>
        <v>0</v>
      </c>
      <c r="H70" s="295">
        <f t="shared" si="6"/>
        <v>5</v>
      </c>
    </row>
    <row r="71" spans="2:8">
      <c r="B71" s="426" t="str">
        <f t="shared" si="0"/>
        <v>South Africa</v>
      </c>
      <c r="C71" s="64">
        <f t="shared" si="1"/>
        <v>0</v>
      </c>
      <c r="D71" s="64">
        <f t="shared" si="2"/>
        <v>0</v>
      </c>
      <c r="E71" s="64">
        <f t="shared" si="3"/>
        <v>0</v>
      </c>
      <c r="F71" s="64">
        <f t="shared" si="4"/>
        <v>0.6</v>
      </c>
      <c r="G71" s="64">
        <f t="shared" si="5"/>
        <v>0</v>
      </c>
      <c r="H71" s="296">
        <f t="shared" si="6"/>
        <v>5</v>
      </c>
    </row>
    <row r="72" spans="2:8">
      <c r="B72" s="424" t="str">
        <f t="shared" si="0"/>
        <v>Papua New Guinea</v>
      </c>
      <c r="C72" s="54">
        <f t="shared" si="1"/>
        <v>0</v>
      </c>
      <c r="D72" s="54">
        <f t="shared" si="2"/>
        <v>0</v>
      </c>
      <c r="E72" s="54">
        <f t="shared" si="3"/>
        <v>0</v>
      </c>
      <c r="F72" s="54">
        <f t="shared" si="4"/>
        <v>0</v>
      </c>
      <c r="G72" s="54">
        <f t="shared" si="5"/>
        <v>0</v>
      </c>
      <c r="H72" s="295">
        <f t="shared" si="6"/>
        <v>4</v>
      </c>
    </row>
    <row r="73" spans="2:8">
      <c r="B73" s="426" t="str">
        <f t="shared" si="0"/>
        <v>Netherlands</v>
      </c>
      <c r="C73" s="64">
        <f t="shared" si="1"/>
        <v>0</v>
      </c>
      <c r="D73" s="64">
        <f t="shared" si="2"/>
        <v>0</v>
      </c>
      <c r="E73" s="64">
        <f t="shared" si="3"/>
        <v>0</v>
      </c>
      <c r="F73" s="64">
        <f t="shared" si="4"/>
        <v>0</v>
      </c>
      <c r="G73" s="64">
        <f t="shared" si="5"/>
        <v>0</v>
      </c>
      <c r="H73" s="296">
        <f t="shared" si="6"/>
        <v>3</v>
      </c>
    </row>
    <row r="74" spans="2:8">
      <c r="B74" s="424" t="str">
        <f t="shared" si="0"/>
        <v>Taiwan</v>
      </c>
      <c r="C74" s="54">
        <f t="shared" si="1"/>
        <v>0</v>
      </c>
      <c r="D74" s="54">
        <f t="shared" si="2"/>
        <v>0</v>
      </c>
      <c r="E74" s="54">
        <f t="shared" si="3"/>
        <v>1</v>
      </c>
      <c r="F74" s="54">
        <f t="shared" si="4"/>
        <v>0</v>
      </c>
      <c r="G74" s="54">
        <f t="shared" si="5"/>
        <v>0</v>
      </c>
      <c r="H74" s="295">
        <f t="shared" si="6"/>
        <v>3</v>
      </c>
    </row>
    <row r="75" spans="2:8">
      <c r="B75" s="426" t="str">
        <f t="shared" si="0"/>
        <v>Canada</v>
      </c>
      <c r="C75" s="64">
        <f t="shared" si="1"/>
        <v>0</v>
      </c>
      <c r="D75" s="64">
        <f t="shared" si="2"/>
        <v>0</v>
      </c>
      <c r="E75" s="64">
        <f t="shared" si="3"/>
        <v>1</v>
      </c>
      <c r="F75" s="64">
        <f t="shared" si="4"/>
        <v>0</v>
      </c>
      <c r="G75" s="64">
        <f t="shared" si="5"/>
        <v>0</v>
      </c>
      <c r="H75" s="296">
        <f t="shared" si="6"/>
        <v>3</v>
      </c>
    </row>
    <row r="76" spans="2:8">
      <c r="B76" s="424" t="str">
        <f t="shared" si="0"/>
        <v>..</v>
      </c>
      <c r="C76" s="54" t="str">
        <f t="shared" ref="C76:H76" si="7">IFERROR(C58/H58,"..")</f>
        <v>..</v>
      </c>
      <c r="D76" s="54" t="str">
        <f t="shared" si="7"/>
        <v>..</v>
      </c>
      <c r="E76" s="54" t="str">
        <f t="shared" si="7"/>
        <v>..</v>
      </c>
      <c r="F76" s="54" t="str">
        <f t="shared" si="7"/>
        <v>..</v>
      </c>
      <c r="G76" s="54" t="str">
        <f t="shared" si="7"/>
        <v>..</v>
      </c>
      <c r="H76" s="295" t="str">
        <f t="shared" si="7"/>
        <v>..</v>
      </c>
    </row>
    <row r="77" spans="2:8">
      <c r="B77" s="297" t="s">
        <v>29</v>
      </c>
      <c r="C77" s="70">
        <f>SUM(C59/H59)</f>
        <v>0.30925707547169812</v>
      </c>
      <c r="D77" s="70">
        <f>SUM(D59/H59)</f>
        <v>0.16126179245283018</v>
      </c>
      <c r="E77" s="70">
        <f>SUM(E59/H59)</f>
        <v>0.30601415094339623</v>
      </c>
      <c r="F77" s="70">
        <f>SUM(F59/H59)</f>
        <v>0.18278301886792453</v>
      </c>
      <c r="G77" s="70">
        <f>SUM(G59/H59)</f>
        <v>4.4221698113207544E-2</v>
      </c>
      <c r="H77" s="278">
        <f>H59</f>
        <v>3392</v>
      </c>
    </row>
    <row r="78" spans="2:8">
      <c r="B78" s="298" t="s">
        <v>30</v>
      </c>
      <c r="C78" s="73">
        <f>SUM(C60/H60)</f>
        <v>4.3478260869565216E-2</v>
      </c>
      <c r="D78" s="73">
        <f>SUM(D60/H60)</f>
        <v>4.3478260869565216E-2</v>
      </c>
      <c r="E78" s="73">
        <f>SUM(E60/H60)</f>
        <v>0.37681159420289856</v>
      </c>
      <c r="F78" s="73">
        <f>SUM(F60/H60)</f>
        <v>0.50724637681159424</v>
      </c>
      <c r="G78" s="73">
        <f>SUM(G60/H60)</f>
        <v>0.13043478260869565</v>
      </c>
      <c r="H78" s="280">
        <f>H60</f>
        <v>69</v>
      </c>
    </row>
    <row r="79" spans="2:8">
      <c r="B79" s="299" t="s">
        <v>31</v>
      </c>
      <c r="C79" s="300">
        <f>SUM(C61/H61)</f>
        <v>0</v>
      </c>
      <c r="D79" s="300">
        <f>SUM(D61/H61)</f>
        <v>0</v>
      </c>
      <c r="E79" s="300">
        <f>SUM(E61/H61)</f>
        <v>0.56756756756756754</v>
      </c>
      <c r="F79" s="300">
        <f>SUM(F61/H61)</f>
        <v>0.32432432432432434</v>
      </c>
      <c r="G79" s="300">
        <f>SUM(G61/H61)</f>
        <v>0.10810810810810811</v>
      </c>
      <c r="H79" s="283">
        <f>H61</f>
        <v>37</v>
      </c>
    </row>
    <row r="81" spans="2:8" s="149" customFormat="1" ht="23.25">
      <c r="B81" s="127" t="s">
        <v>676</v>
      </c>
    </row>
    <row r="82" spans="2:8" s="149" customFormat="1" ht="15.75">
      <c r="B82" s="150" t="s">
        <v>844</v>
      </c>
    </row>
    <row r="83" spans="2:8" s="149" customFormat="1">
      <c r="B83" s="149" t="s">
        <v>887</v>
      </c>
    </row>
    <row r="84" spans="2:8" s="149" customFormat="1">
      <c r="B84" s="151" t="s">
        <v>14</v>
      </c>
      <c r="C84" s="152" t="s">
        <v>32</v>
      </c>
      <c r="D84" s="152" t="s">
        <v>33</v>
      </c>
      <c r="E84" s="152" t="s">
        <v>34</v>
      </c>
      <c r="F84" s="152" t="s">
        <v>35</v>
      </c>
      <c r="G84" s="152">
        <v>2016</v>
      </c>
      <c r="H84" s="153" t="s">
        <v>28</v>
      </c>
    </row>
    <row r="85" spans="2:8" s="149" customFormat="1">
      <c r="B85" s="154" t="s">
        <v>73</v>
      </c>
      <c r="C85" s="155">
        <v>4</v>
      </c>
      <c r="D85" s="155">
        <v>3</v>
      </c>
      <c r="E85" s="155">
        <v>8</v>
      </c>
      <c r="F85" s="156">
        <v>23</v>
      </c>
      <c r="G85" s="155">
        <v>0</v>
      </c>
      <c r="H85" s="157">
        <v>44</v>
      </c>
    </row>
    <row r="86" spans="2:8" s="149" customFormat="1">
      <c r="B86" s="66" t="s">
        <v>92</v>
      </c>
      <c r="C86" s="158">
        <v>8</v>
      </c>
      <c r="D86" s="158">
        <v>4</v>
      </c>
      <c r="E86" s="158">
        <v>0</v>
      </c>
      <c r="F86" s="159">
        <v>8</v>
      </c>
      <c r="G86" s="158">
        <v>0</v>
      </c>
      <c r="H86" s="160">
        <v>16</v>
      </c>
    </row>
    <row r="87" spans="2:8" s="149" customFormat="1">
      <c r="B87" s="63" t="s">
        <v>76</v>
      </c>
      <c r="C87" s="155">
        <v>0</v>
      </c>
      <c r="D87" s="155">
        <v>0</v>
      </c>
      <c r="E87" s="155">
        <v>3</v>
      </c>
      <c r="F87" s="156">
        <v>0</v>
      </c>
      <c r="G87" s="155">
        <v>0</v>
      </c>
      <c r="H87" s="161">
        <v>7</v>
      </c>
    </row>
    <row r="88" spans="2:8" s="149" customFormat="1">
      <c r="B88" s="162" t="s">
        <v>129</v>
      </c>
      <c r="C88" s="158">
        <v>0</v>
      </c>
      <c r="D88" s="158">
        <v>0</v>
      </c>
      <c r="E88" s="158">
        <v>0</v>
      </c>
      <c r="F88" s="159">
        <v>5</v>
      </c>
      <c r="G88" s="158">
        <v>0</v>
      </c>
      <c r="H88" s="160">
        <v>5</v>
      </c>
    </row>
    <row r="89" spans="2:8" s="149" customFormat="1" ht="10.5" customHeight="1">
      <c r="B89" s="154" t="s">
        <v>78</v>
      </c>
      <c r="C89" s="155">
        <v>0</v>
      </c>
      <c r="D89" s="155">
        <v>0</v>
      </c>
      <c r="E89" s="155">
        <v>0</v>
      </c>
      <c r="F89" s="156">
        <v>3</v>
      </c>
      <c r="G89" s="155">
        <v>0</v>
      </c>
      <c r="H89" s="161">
        <v>5</v>
      </c>
    </row>
    <row r="90" spans="2:8" s="149" customFormat="1">
      <c r="B90" s="66" t="s">
        <v>130</v>
      </c>
      <c r="C90" s="158">
        <v>0</v>
      </c>
      <c r="D90" s="158">
        <v>0</v>
      </c>
      <c r="E90" s="158">
        <v>0</v>
      </c>
      <c r="F90" s="159">
        <v>3</v>
      </c>
      <c r="G90" s="158">
        <v>0</v>
      </c>
      <c r="H90" s="160">
        <v>4</v>
      </c>
    </row>
    <row r="91" spans="2:8" s="149" customFormat="1">
      <c r="B91" s="63" t="s">
        <v>84</v>
      </c>
      <c r="C91" s="155">
        <v>3</v>
      </c>
      <c r="D91" s="155">
        <v>0</v>
      </c>
      <c r="E91" s="155">
        <v>0</v>
      </c>
      <c r="F91" s="156">
        <v>0</v>
      </c>
      <c r="G91" s="155">
        <v>0</v>
      </c>
      <c r="H91" s="161">
        <v>3</v>
      </c>
    </row>
    <row r="92" spans="2:8" s="149" customFormat="1">
      <c r="B92" s="162" t="s">
        <v>93</v>
      </c>
      <c r="C92" s="158">
        <v>0</v>
      </c>
      <c r="D92" s="158">
        <v>0</v>
      </c>
      <c r="E92" s="158">
        <v>0</v>
      </c>
      <c r="F92" s="159">
        <v>3</v>
      </c>
      <c r="G92" s="158">
        <v>0</v>
      </c>
      <c r="H92" s="160">
        <v>3</v>
      </c>
    </row>
    <row r="93" spans="2:8" s="149" customFormat="1">
      <c r="B93" s="63" t="s">
        <v>87</v>
      </c>
      <c r="C93" s="155">
        <v>0</v>
      </c>
      <c r="D93" s="155">
        <v>0</v>
      </c>
      <c r="E93" s="155">
        <v>0</v>
      </c>
      <c r="F93" s="156">
        <v>3</v>
      </c>
      <c r="G93" s="155">
        <v>0</v>
      </c>
      <c r="H93" s="161">
        <v>3</v>
      </c>
    </row>
    <row r="94" spans="2:8" s="149" customFormat="1">
      <c r="B94" s="162" t="s">
        <v>94</v>
      </c>
      <c r="C94" s="106" t="s">
        <v>94</v>
      </c>
      <c r="D94" s="106" t="s">
        <v>94</v>
      </c>
      <c r="E94" s="106" t="s">
        <v>94</v>
      </c>
      <c r="F94" s="238" t="s">
        <v>94</v>
      </c>
      <c r="G94" s="106" t="s">
        <v>94</v>
      </c>
      <c r="H94" s="67" t="s">
        <v>94</v>
      </c>
    </row>
    <row r="95" spans="2:8" s="149" customFormat="1">
      <c r="B95" s="163" t="s">
        <v>30</v>
      </c>
      <c r="C95" s="163">
        <v>19</v>
      </c>
      <c r="D95" s="163">
        <v>4</v>
      </c>
      <c r="E95" s="163">
        <v>8</v>
      </c>
      <c r="F95" s="163">
        <v>30</v>
      </c>
      <c r="G95" s="164">
        <v>0</v>
      </c>
      <c r="H95" s="165">
        <f>C19</f>
        <v>69</v>
      </c>
    </row>
    <row r="96" spans="2:8" s="149" customFormat="1">
      <c r="B96" s="166" t="s">
        <v>31</v>
      </c>
      <c r="C96" s="166">
        <v>6</v>
      </c>
      <c r="D96" s="166">
        <v>3</v>
      </c>
      <c r="E96" s="166">
        <v>7</v>
      </c>
      <c r="F96" s="166">
        <v>15</v>
      </c>
      <c r="G96" s="167">
        <v>0</v>
      </c>
      <c r="H96" s="168">
        <f>C20</f>
        <v>37</v>
      </c>
    </row>
    <row r="97" spans="2:20" s="149" customFormat="1" ht="23.25">
      <c r="B97" s="127"/>
    </row>
    <row r="98" spans="2:20" s="149" customFormat="1" ht="23.25">
      <c r="B98" s="127" t="s">
        <v>677</v>
      </c>
    </row>
    <row r="99" spans="2:20" s="149" customFormat="1" ht="15.75">
      <c r="B99" s="150" t="s">
        <v>846</v>
      </c>
    </row>
    <row r="100" spans="2:20" s="149" customFormat="1">
      <c r="B100" s="149" t="s">
        <v>845</v>
      </c>
      <c r="J100" s="169"/>
      <c r="K100" s="170"/>
      <c r="L100" s="170"/>
      <c r="M100" s="170"/>
      <c r="N100" s="170"/>
    </row>
    <row r="101" spans="2:20" s="149" customFormat="1">
      <c r="B101" s="151" t="s">
        <v>14</v>
      </c>
      <c r="C101" s="152" t="s">
        <v>32</v>
      </c>
      <c r="D101" s="152" t="s">
        <v>33</v>
      </c>
      <c r="E101" s="152" t="s">
        <v>34</v>
      </c>
      <c r="F101" s="152" t="s">
        <v>35</v>
      </c>
      <c r="G101" s="152">
        <v>2016</v>
      </c>
      <c r="H101" s="153" t="s">
        <v>28</v>
      </c>
      <c r="J101" s="169"/>
      <c r="K101" s="170"/>
      <c r="L101" s="170"/>
      <c r="M101" s="170"/>
      <c r="N101" s="170"/>
    </row>
    <row r="102" spans="2:20" s="149" customFormat="1">
      <c r="B102" s="63" t="str">
        <f t="shared" ref="B102:B111" si="8">B85</f>
        <v>New Zealand</v>
      </c>
      <c r="C102" s="64">
        <f>IFERROR(C85/$H$85,"..")</f>
        <v>9.0909090909090912E-2</v>
      </c>
      <c r="D102" s="64">
        <f t="shared" ref="D102:D110" si="9">IFERROR(D85/H85,"-")</f>
        <v>6.8181818181818177E-2</v>
      </c>
      <c r="E102" s="64">
        <f t="shared" ref="E102:E110" si="10">IFERROR(E85/H85,"-")</f>
        <v>0.18181818181818182</v>
      </c>
      <c r="F102" s="64">
        <f t="shared" ref="F102:F110" si="11">IFERROR(F85/H85,"-")</f>
        <v>0.52272727272727271</v>
      </c>
      <c r="G102" s="64">
        <f t="shared" ref="G102:G110" si="12">IFERROR(G85/H85,"-")</f>
        <v>0</v>
      </c>
      <c r="H102" s="78">
        <f t="shared" ref="H102:H110" si="13">H85</f>
        <v>44</v>
      </c>
      <c r="J102" s="169"/>
      <c r="K102" s="170"/>
      <c r="L102" s="170"/>
      <c r="M102" s="170"/>
      <c r="N102" s="170"/>
    </row>
    <row r="103" spans="2:20" s="149" customFormat="1">
      <c r="B103" s="66" t="str">
        <f t="shared" si="8"/>
        <v>England</v>
      </c>
      <c r="C103" s="54">
        <f t="shared" ref="C103:C110" si="14">IFERROR(C86/H86,"-")</f>
        <v>0.5</v>
      </c>
      <c r="D103" s="54">
        <f t="shared" si="9"/>
        <v>0.25</v>
      </c>
      <c r="E103" s="54">
        <f t="shared" si="10"/>
        <v>0</v>
      </c>
      <c r="F103" s="54">
        <f t="shared" si="11"/>
        <v>0.5</v>
      </c>
      <c r="G103" s="54">
        <f t="shared" si="12"/>
        <v>0</v>
      </c>
      <c r="H103" s="79">
        <f t="shared" si="13"/>
        <v>16</v>
      </c>
      <c r="J103" s="169"/>
      <c r="K103" s="170"/>
      <c r="L103" s="170"/>
      <c r="M103" s="170"/>
      <c r="N103" s="170"/>
    </row>
    <row r="104" spans="2:20" s="149" customFormat="1">
      <c r="B104" s="63" t="str">
        <f t="shared" si="8"/>
        <v>Philippines</v>
      </c>
      <c r="C104" s="64">
        <f t="shared" si="14"/>
        <v>0</v>
      </c>
      <c r="D104" s="64">
        <f t="shared" si="9"/>
        <v>0</v>
      </c>
      <c r="E104" s="64">
        <f t="shared" si="10"/>
        <v>0.42857142857142855</v>
      </c>
      <c r="F104" s="64">
        <f t="shared" si="11"/>
        <v>0</v>
      </c>
      <c r="G104" s="64">
        <f t="shared" si="12"/>
        <v>0</v>
      </c>
      <c r="H104" s="80">
        <f t="shared" si="13"/>
        <v>7</v>
      </c>
      <c r="J104" s="169"/>
      <c r="K104" s="170"/>
      <c r="L104" s="170"/>
      <c r="M104" s="170"/>
      <c r="N104" s="170"/>
    </row>
    <row r="105" spans="2:20" s="149" customFormat="1">
      <c r="B105" s="66" t="str">
        <f t="shared" si="8"/>
        <v>France</v>
      </c>
      <c r="C105" s="54">
        <f t="shared" si="14"/>
        <v>0</v>
      </c>
      <c r="D105" s="54">
        <f t="shared" si="9"/>
        <v>0</v>
      </c>
      <c r="E105" s="54">
        <f t="shared" si="10"/>
        <v>0</v>
      </c>
      <c r="F105" s="54">
        <f t="shared" si="11"/>
        <v>1</v>
      </c>
      <c r="G105" s="54">
        <f t="shared" si="12"/>
        <v>0</v>
      </c>
      <c r="H105" s="79">
        <f t="shared" si="13"/>
        <v>5</v>
      </c>
      <c r="J105" s="169"/>
      <c r="K105" s="170"/>
      <c r="L105" s="170"/>
      <c r="M105" s="170"/>
      <c r="N105" s="170"/>
    </row>
    <row r="106" spans="2:20" s="149" customFormat="1">
      <c r="B106" s="63" t="str">
        <f t="shared" si="8"/>
        <v>South Africa</v>
      </c>
      <c r="C106" s="64">
        <f t="shared" si="14"/>
        <v>0</v>
      </c>
      <c r="D106" s="64">
        <f t="shared" si="9"/>
        <v>0</v>
      </c>
      <c r="E106" s="64">
        <f t="shared" si="10"/>
        <v>0</v>
      </c>
      <c r="F106" s="64">
        <f t="shared" si="11"/>
        <v>0.6</v>
      </c>
      <c r="G106" s="64">
        <f t="shared" si="12"/>
        <v>0</v>
      </c>
      <c r="H106" s="80">
        <f t="shared" si="13"/>
        <v>5</v>
      </c>
      <c r="J106" s="169"/>
      <c r="K106" s="170"/>
      <c r="L106" s="170"/>
      <c r="M106" s="170"/>
      <c r="N106" s="170"/>
    </row>
    <row r="107" spans="2:20" s="149" customFormat="1">
      <c r="B107" s="66" t="str">
        <f t="shared" si="8"/>
        <v>Papua New Guinea</v>
      </c>
      <c r="C107" s="54">
        <f t="shared" si="14"/>
        <v>0</v>
      </c>
      <c r="D107" s="54">
        <f t="shared" si="9"/>
        <v>0</v>
      </c>
      <c r="E107" s="54">
        <f t="shared" si="10"/>
        <v>0</v>
      </c>
      <c r="F107" s="54">
        <f t="shared" si="11"/>
        <v>0.75</v>
      </c>
      <c r="G107" s="54">
        <f t="shared" si="12"/>
        <v>0</v>
      </c>
      <c r="H107" s="79">
        <f t="shared" si="13"/>
        <v>4</v>
      </c>
      <c r="J107" s="169"/>
      <c r="K107" s="170"/>
      <c r="L107" s="170"/>
      <c r="M107" s="170"/>
      <c r="N107" s="170"/>
    </row>
    <row r="108" spans="2:20" s="149" customFormat="1">
      <c r="B108" s="63" t="str">
        <f t="shared" si="8"/>
        <v>Netherlands</v>
      </c>
      <c r="C108" s="64">
        <f t="shared" si="14"/>
        <v>1</v>
      </c>
      <c r="D108" s="64">
        <f t="shared" si="9"/>
        <v>0</v>
      </c>
      <c r="E108" s="64">
        <f t="shared" si="10"/>
        <v>0</v>
      </c>
      <c r="F108" s="64">
        <f t="shared" si="11"/>
        <v>0</v>
      </c>
      <c r="G108" s="64">
        <f t="shared" si="12"/>
        <v>0</v>
      </c>
      <c r="H108" s="80">
        <f t="shared" si="13"/>
        <v>3</v>
      </c>
      <c r="O108" s="170"/>
      <c r="P108" s="170"/>
      <c r="Q108" s="170"/>
      <c r="R108" s="170"/>
      <c r="S108" s="170"/>
      <c r="T108" s="170"/>
    </row>
    <row r="109" spans="2:20" s="149" customFormat="1">
      <c r="B109" s="66" t="str">
        <f t="shared" si="8"/>
        <v>Taiwan</v>
      </c>
      <c r="C109" s="54">
        <f t="shared" si="14"/>
        <v>0</v>
      </c>
      <c r="D109" s="54">
        <f t="shared" si="9"/>
        <v>0</v>
      </c>
      <c r="E109" s="54">
        <f t="shared" si="10"/>
        <v>0</v>
      </c>
      <c r="F109" s="54">
        <f t="shared" si="11"/>
        <v>1</v>
      </c>
      <c r="G109" s="54">
        <f t="shared" si="12"/>
        <v>0</v>
      </c>
      <c r="H109" s="79">
        <f t="shared" si="13"/>
        <v>3</v>
      </c>
    </row>
    <row r="110" spans="2:20" s="149" customFormat="1">
      <c r="B110" s="63" t="str">
        <f t="shared" si="8"/>
        <v>Canada</v>
      </c>
      <c r="C110" s="64">
        <f t="shared" si="14"/>
        <v>0</v>
      </c>
      <c r="D110" s="64">
        <f t="shared" si="9"/>
        <v>0</v>
      </c>
      <c r="E110" s="64">
        <f t="shared" si="10"/>
        <v>0</v>
      </c>
      <c r="F110" s="64">
        <f t="shared" si="11"/>
        <v>1</v>
      </c>
      <c r="G110" s="64">
        <f t="shared" si="12"/>
        <v>0</v>
      </c>
      <c r="H110" s="80">
        <f t="shared" si="13"/>
        <v>3</v>
      </c>
    </row>
    <row r="111" spans="2:20" s="149" customFormat="1">
      <c r="B111" s="81" t="str">
        <f t="shared" si="8"/>
        <v>..</v>
      </c>
      <c r="C111" s="82" t="str">
        <f t="shared" ref="C111:H111" si="15">IFERROR(C94/H94,"..")</f>
        <v>..</v>
      </c>
      <c r="D111" s="82" t="str">
        <f t="shared" si="15"/>
        <v>..</v>
      </c>
      <c r="E111" s="82" t="str">
        <f t="shared" si="15"/>
        <v>..</v>
      </c>
      <c r="F111" s="82" t="str">
        <f t="shared" si="15"/>
        <v>..</v>
      </c>
      <c r="G111" s="82" t="str">
        <f t="shared" si="15"/>
        <v>..</v>
      </c>
      <c r="H111" s="83" t="str">
        <f t="shared" si="15"/>
        <v>..</v>
      </c>
    </row>
    <row r="112" spans="2:20" s="149" customFormat="1">
      <c r="B112" s="72" t="s">
        <v>30</v>
      </c>
      <c r="C112" s="73">
        <f>IFERROR(C95/H95,"-")</f>
        <v>0.27536231884057971</v>
      </c>
      <c r="D112" s="73">
        <f>IFERROR(D95/H95,"-")</f>
        <v>5.7971014492753624E-2</v>
      </c>
      <c r="E112" s="73">
        <f>IFERROR(E95/H95,"-")</f>
        <v>0.11594202898550725</v>
      </c>
      <c r="F112" s="73">
        <f>IFERROR(F95/H95,"-")</f>
        <v>0.43478260869565216</v>
      </c>
      <c r="G112" s="73">
        <f>IFERROR(G95/H95,"-")</f>
        <v>0</v>
      </c>
      <c r="H112" s="171">
        <f>H95</f>
        <v>69</v>
      </c>
    </row>
    <row r="113" spans="2:8" s="149" customFormat="1">
      <c r="B113" s="75" t="s">
        <v>31</v>
      </c>
      <c r="C113" s="76">
        <f>IFERROR(C96/H96,"-")</f>
        <v>0.16216216216216217</v>
      </c>
      <c r="D113" s="76">
        <f>IFERROR(D96/H96,"-")</f>
        <v>8.1081081081081086E-2</v>
      </c>
      <c r="E113" s="76">
        <f>IFERROR(E96/H96,"-")</f>
        <v>0.1891891891891892</v>
      </c>
      <c r="F113" s="76">
        <f>IFERROR(F96/H96,"-")</f>
        <v>0.40540540540540543</v>
      </c>
      <c r="G113" s="76">
        <f>IFERROR(G96/H96,"-")</f>
        <v>0</v>
      </c>
      <c r="H113" s="172">
        <f>H96</f>
        <v>37</v>
      </c>
    </row>
    <row r="115" spans="2:8" ht="23.25">
      <c r="B115" s="127" t="s">
        <v>678</v>
      </c>
    </row>
    <row r="116" spans="2:8" ht="15.75">
      <c r="B116" s="150" t="s">
        <v>330</v>
      </c>
    </row>
    <row r="117" spans="2:8" ht="25.5">
      <c r="B117" s="173" t="s">
        <v>36</v>
      </c>
      <c r="C117" s="173" t="s">
        <v>37</v>
      </c>
      <c r="D117" s="173" t="s">
        <v>38</v>
      </c>
      <c r="E117" s="173" t="s">
        <v>6</v>
      </c>
      <c r="F117" s="173" t="s">
        <v>39</v>
      </c>
      <c r="G117" s="173" t="s">
        <v>7</v>
      </c>
      <c r="H117" s="173" t="s">
        <v>40</v>
      </c>
    </row>
    <row r="118" spans="2:8">
      <c r="B118" s="155" t="s">
        <v>95</v>
      </c>
      <c r="C118" s="103">
        <v>1337</v>
      </c>
      <c r="D118" s="103">
        <v>1490</v>
      </c>
      <c r="E118" s="103">
        <v>2830</v>
      </c>
      <c r="F118" s="224">
        <f>IFERROR(Table792226888[[#This Row],[Persons]]/$C$23,"..")</f>
        <v>0.98263888888888884</v>
      </c>
      <c r="G118" s="103">
        <v>2695</v>
      </c>
      <c r="H118" s="64">
        <f t="shared" ref="H118:H128" si="16">IFERROR((E118-G118)/G118,"..")</f>
        <v>5.0092764378478663E-2</v>
      </c>
    </row>
    <row r="119" spans="2:8">
      <c r="B119" s="158" t="s">
        <v>190</v>
      </c>
      <c r="C119" s="106">
        <v>11</v>
      </c>
      <c r="D119" s="106">
        <v>11</v>
      </c>
      <c r="E119" s="106">
        <v>16</v>
      </c>
      <c r="F119" s="226">
        <f>IFERROR(Table792226888[[#This Row],[Persons]]/$C$23,"..")</f>
        <v>5.5555555555555558E-3</v>
      </c>
      <c r="G119" s="106"/>
      <c r="H119" s="54" t="str">
        <f t="shared" si="16"/>
        <v>..</v>
      </c>
    </row>
    <row r="120" spans="2:8">
      <c r="B120" s="155" t="s">
        <v>191</v>
      </c>
      <c r="C120" s="103">
        <v>3</v>
      </c>
      <c r="D120" s="103">
        <v>4</v>
      </c>
      <c r="E120" s="103">
        <v>6</v>
      </c>
      <c r="F120" s="224">
        <f>IFERROR(Table792226888[[#This Row],[Persons]]/$C$23,"..")</f>
        <v>2.0833333333333333E-3</v>
      </c>
      <c r="G120" s="103"/>
      <c r="H120" s="64" t="str">
        <f t="shared" si="16"/>
        <v>..</v>
      </c>
    </row>
    <row r="121" spans="2:8">
      <c r="B121" s="158" t="s">
        <v>146</v>
      </c>
      <c r="C121" s="106">
        <v>0</v>
      </c>
      <c r="D121" s="106">
        <v>4</v>
      </c>
      <c r="E121" s="106">
        <v>5</v>
      </c>
      <c r="F121" s="226">
        <f>IFERROR(Table792226888[[#This Row],[Persons]]/$C$23,"..")</f>
        <v>1.736111111111111E-3</v>
      </c>
      <c r="G121" s="106"/>
      <c r="H121" s="54" t="str">
        <f t="shared" si="16"/>
        <v>..</v>
      </c>
    </row>
    <row r="122" spans="2:8">
      <c r="B122" s="155" t="s">
        <v>105</v>
      </c>
      <c r="C122" s="103">
        <v>0</v>
      </c>
      <c r="D122" s="103">
        <v>0</v>
      </c>
      <c r="E122" s="103">
        <v>3</v>
      </c>
      <c r="F122" s="224">
        <f>IFERROR(Table792226888[[#This Row],[Persons]]/$C$23,"..")</f>
        <v>1.0416666666666667E-3</v>
      </c>
      <c r="G122" s="103"/>
      <c r="H122" s="64" t="str">
        <f t="shared" si="16"/>
        <v>..</v>
      </c>
    </row>
    <row r="123" spans="2:8">
      <c r="B123" s="158" t="s">
        <v>107</v>
      </c>
      <c r="C123" s="106">
        <v>0</v>
      </c>
      <c r="D123" s="106">
        <v>0</v>
      </c>
      <c r="E123" s="106">
        <v>3</v>
      </c>
      <c r="F123" s="226">
        <f>IFERROR(Table792226888[[#This Row],[Persons]]/$C$23,"..")</f>
        <v>1.0416666666666667E-3</v>
      </c>
      <c r="G123" s="106"/>
      <c r="H123" s="54" t="str">
        <f t="shared" si="16"/>
        <v>..</v>
      </c>
    </row>
    <row r="124" spans="2:8">
      <c r="B124" s="155" t="s">
        <v>54</v>
      </c>
      <c r="C124" s="103">
        <v>0</v>
      </c>
      <c r="D124" s="103">
        <v>0</v>
      </c>
      <c r="E124" s="103">
        <v>3</v>
      </c>
      <c r="F124" s="224">
        <f>IFERROR(Table792226888[[#This Row],[Persons]]/$C$23,"..")</f>
        <v>1.0416666666666667E-3</v>
      </c>
      <c r="G124" s="103"/>
      <c r="H124" s="64" t="str">
        <f t="shared" si="16"/>
        <v>..</v>
      </c>
    </row>
    <row r="125" spans="2:8">
      <c r="B125" s="158" t="s">
        <v>53</v>
      </c>
      <c r="C125" s="106">
        <v>0</v>
      </c>
      <c r="D125" s="106">
        <v>3</v>
      </c>
      <c r="E125" s="106">
        <v>3</v>
      </c>
      <c r="F125" s="226">
        <f>IFERROR(Table792226888[[#This Row],[Persons]]/$C$23,"..")</f>
        <v>1.0416666666666667E-3</v>
      </c>
      <c r="G125" s="106"/>
      <c r="H125" s="54" t="str">
        <f t="shared" si="16"/>
        <v>..</v>
      </c>
    </row>
    <row r="126" spans="2:8">
      <c r="B126" s="155" t="s">
        <v>94</v>
      </c>
      <c r="C126" s="103" t="s">
        <v>94</v>
      </c>
      <c r="D126" s="103" t="s">
        <v>94</v>
      </c>
      <c r="E126" s="103" t="s">
        <v>94</v>
      </c>
      <c r="F126" s="224" t="str">
        <f>IFERROR(Table792226888[[#This Row],[Persons]]/$C$23,"..")</f>
        <v>..</v>
      </c>
      <c r="G126" s="103" t="s">
        <v>94</v>
      </c>
      <c r="H126" s="64" t="str">
        <f t="shared" si="16"/>
        <v>..</v>
      </c>
    </row>
    <row r="127" spans="2:8">
      <c r="B127" s="158" t="s">
        <v>94</v>
      </c>
      <c r="C127" s="106" t="s">
        <v>94</v>
      </c>
      <c r="D127" s="106" t="s">
        <v>94</v>
      </c>
      <c r="E127" s="106" t="s">
        <v>94</v>
      </c>
      <c r="F127" s="226" t="str">
        <f>IFERROR(Table792226888[[#This Row],[Persons]]/$C$23,"..")</f>
        <v>..</v>
      </c>
      <c r="G127" s="106" t="s">
        <v>94</v>
      </c>
      <c r="H127" s="54" t="str">
        <f t="shared" si="16"/>
        <v>..</v>
      </c>
    </row>
    <row r="128" spans="2:8">
      <c r="B128" s="158" t="s">
        <v>127</v>
      </c>
      <c r="C128" s="106">
        <f>Table792226888[[#Totals],[Males]]-SUM(C118:C127)</f>
        <v>11</v>
      </c>
      <c r="D128" s="106">
        <f>Table792226888[[#Totals],[Females]]-SUM(D118:D127)</f>
        <v>4</v>
      </c>
      <c r="E128" s="106">
        <f>Table792226888[[#Totals],[Persons]]-SUM(E118:E127)</f>
        <v>11</v>
      </c>
      <c r="F128" s="226">
        <f>IFERROR(Table792226888[[#This Row],[Persons]]/$C$23,"..")</f>
        <v>3.8194444444444443E-3</v>
      </c>
      <c r="G128" s="106" t="s">
        <v>94</v>
      </c>
      <c r="H128" s="54" t="str">
        <f t="shared" si="16"/>
        <v>..</v>
      </c>
    </row>
    <row r="129" spans="2:9">
      <c r="B129" s="284" t="s">
        <v>872</v>
      </c>
      <c r="C129" s="175" t="s">
        <v>202</v>
      </c>
      <c r="D129" s="175" t="s">
        <v>203</v>
      </c>
      <c r="E129" s="176" t="s">
        <v>204</v>
      </c>
      <c r="F129" s="177" t="s">
        <v>22</v>
      </c>
      <c r="G129" s="176">
        <f>E23</f>
        <v>2716</v>
      </c>
      <c r="H129" s="637">
        <f>(Table792226888[[#Totals],[Persons]]-G129)/G129</f>
        <v>6.0382916053019146E-2</v>
      </c>
    </row>
    <row r="130" spans="2:9">
      <c r="B130" s="389" t="s">
        <v>873</v>
      </c>
      <c r="C130" s="180"/>
      <c r="D130" s="180"/>
      <c r="E130" s="180"/>
      <c r="F130" s="181"/>
      <c r="G130" s="180"/>
      <c r="H130" s="180"/>
      <c r="I130" s="182"/>
    </row>
    <row r="131" spans="2:9">
      <c r="B131" s="183"/>
      <c r="C131" s="183"/>
      <c r="D131" s="183"/>
      <c r="E131" s="183"/>
      <c r="F131" s="174"/>
      <c r="G131" s="184"/>
      <c r="H131" s="183"/>
      <c r="I131" s="183"/>
    </row>
    <row r="132" spans="2:9" ht="23.25">
      <c r="B132" s="127" t="s">
        <v>679</v>
      </c>
    </row>
    <row r="133" spans="2:9" ht="15.75">
      <c r="B133" s="150" t="s">
        <v>825</v>
      </c>
    </row>
    <row r="134" spans="2:9" s="149" customFormat="1">
      <c r="B134" s="140" t="s">
        <v>36</v>
      </c>
      <c r="C134" s="145" t="s">
        <v>42</v>
      </c>
      <c r="D134" s="145" t="s">
        <v>43</v>
      </c>
      <c r="E134" s="145" t="s">
        <v>44</v>
      </c>
      <c r="F134" s="145" t="s">
        <v>45</v>
      </c>
      <c r="G134" s="145" t="s">
        <v>46</v>
      </c>
      <c r="H134" s="145" t="s">
        <v>28</v>
      </c>
    </row>
    <row r="135" spans="2:9" s="149" customFormat="1">
      <c r="B135" s="185" t="s">
        <v>128</v>
      </c>
      <c r="C135" s="186"/>
      <c r="D135" s="186"/>
      <c r="E135" s="186"/>
      <c r="F135" s="186"/>
      <c r="G135" s="186"/>
      <c r="H135" s="187"/>
    </row>
    <row r="136" spans="2:9" s="149" customFormat="1">
      <c r="B136" s="188" t="s">
        <v>48</v>
      </c>
      <c r="C136" s="238">
        <v>625</v>
      </c>
      <c r="D136" s="238">
        <v>442</v>
      </c>
      <c r="E136" s="238">
        <v>789</v>
      </c>
      <c r="F136" s="238">
        <v>393</v>
      </c>
      <c r="G136" s="238">
        <v>78</v>
      </c>
      <c r="H136" s="554">
        <v>2326</v>
      </c>
    </row>
    <row r="137" spans="2:9" s="149" customFormat="1">
      <c r="B137" s="191" t="s">
        <v>49</v>
      </c>
      <c r="C137" s="241">
        <v>280</v>
      </c>
      <c r="D137" s="241">
        <v>26</v>
      </c>
      <c r="E137" s="241">
        <v>50</v>
      </c>
      <c r="F137" s="241">
        <v>55</v>
      </c>
      <c r="G137" s="241">
        <v>55</v>
      </c>
      <c r="H137" s="203">
        <v>464</v>
      </c>
    </row>
    <row r="138" spans="2:9" s="149" customFormat="1">
      <c r="B138" s="188" t="s">
        <v>50</v>
      </c>
      <c r="C138" s="238">
        <v>916</v>
      </c>
      <c r="D138" s="238">
        <v>475</v>
      </c>
      <c r="E138" s="238">
        <v>854</v>
      </c>
      <c r="F138" s="238">
        <v>451</v>
      </c>
      <c r="G138" s="238">
        <v>127</v>
      </c>
      <c r="H138" s="554">
        <v>2830</v>
      </c>
    </row>
    <row r="139" spans="2:9" s="149" customFormat="1">
      <c r="B139" s="194" t="s">
        <v>51</v>
      </c>
      <c r="C139" s="96">
        <f>IFERROR(C137/$H$138,"-")</f>
        <v>9.8939929328621903E-2</v>
      </c>
      <c r="D139" s="96">
        <f t="shared" ref="D139:H139" si="17">IFERROR(D137/$H$138,"-")</f>
        <v>9.1872791519434626E-3</v>
      </c>
      <c r="E139" s="96">
        <f t="shared" si="17"/>
        <v>1.7667844522968199E-2</v>
      </c>
      <c r="F139" s="96">
        <f t="shared" si="17"/>
        <v>1.9434628975265017E-2</v>
      </c>
      <c r="G139" s="96">
        <f t="shared" si="17"/>
        <v>1.9434628975265017E-2</v>
      </c>
      <c r="H139" s="97">
        <f t="shared" si="17"/>
        <v>0.16395759717314487</v>
      </c>
    </row>
    <row r="140" spans="2:9" s="149" customFormat="1">
      <c r="B140" s="195" t="s">
        <v>190</v>
      </c>
      <c r="C140" s="196"/>
      <c r="D140" s="196"/>
      <c r="E140" s="196"/>
      <c r="F140" s="196"/>
      <c r="G140" s="196"/>
      <c r="H140" s="197"/>
    </row>
    <row r="141" spans="2:9" s="149" customFormat="1">
      <c r="B141" s="191" t="s">
        <v>48</v>
      </c>
      <c r="C141" s="241">
        <v>0</v>
      </c>
      <c r="D141" s="241">
        <v>0</v>
      </c>
      <c r="E141" s="241">
        <v>0</v>
      </c>
      <c r="F141" s="241">
        <v>0</v>
      </c>
      <c r="G141" s="241">
        <v>0</v>
      </c>
      <c r="H141" s="203">
        <v>0</v>
      </c>
    </row>
    <row r="142" spans="2:9" s="149" customFormat="1">
      <c r="B142" s="188" t="s">
        <v>49</v>
      </c>
      <c r="C142" s="238">
        <v>4</v>
      </c>
      <c r="D142" s="238">
        <v>0</v>
      </c>
      <c r="E142" s="238">
        <v>0</v>
      </c>
      <c r="F142" s="238">
        <v>0</v>
      </c>
      <c r="G142" s="238">
        <v>0</v>
      </c>
      <c r="H142" s="554">
        <v>4</v>
      </c>
    </row>
    <row r="143" spans="2:9" s="149" customFormat="1">
      <c r="B143" s="191" t="s">
        <v>50</v>
      </c>
      <c r="C143" s="241">
        <v>16</v>
      </c>
      <c r="D143" s="241">
        <v>0</v>
      </c>
      <c r="E143" s="241">
        <v>0</v>
      </c>
      <c r="F143" s="241">
        <v>0</v>
      </c>
      <c r="G143" s="241">
        <v>0</v>
      </c>
      <c r="H143" s="203">
        <v>16</v>
      </c>
    </row>
    <row r="144" spans="2:9" s="149" customFormat="1">
      <c r="B144" s="202" t="s">
        <v>51</v>
      </c>
      <c r="C144" s="101">
        <f>IFERROR(C142/$H$143,"..")</f>
        <v>0.25</v>
      </c>
      <c r="D144" s="101">
        <f t="shared" ref="D144:H144" si="18">IFERROR(D142/$H$143,"..")</f>
        <v>0</v>
      </c>
      <c r="E144" s="101">
        <f t="shared" si="18"/>
        <v>0</v>
      </c>
      <c r="F144" s="101">
        <f t="shared" si="18"/>
        <v>0</v>
      </c>
      <c r="G144" s="101">
        <f t="shared" si="18"/>
        <v>0</v>
      </c>
      <c r="H144" s="99">
        <f t="shared" si="18"/>
        <v>0.25</v>
      </c>
    </row>
    <row r="145" spans="2:8" s="149" customFormat="1">
      <c r="B145" s="185" t="s">
        <v>191</v>
      </c>
      <c r="C145" s="186"/>
      <c r="D145" s="186"/>
      <c r="E145" s="186"/>
      <c r="F145" s="186"/>
      <c r="G145" s="186"/>
      <c r="H145" s="203"/>
    </row>
    <row r="146" spans="2:8" s="149" customFormat="1">
      <c r="B146" s="188" t="s">
        <v>48</v>
      </c>
      <c r="C146" s="238">
        <v>0</v>
      </c>
      <c r="D146" s="238">
        <v>0</v>
      </c>
      <c r="E146" s="238">
        <v>6</v>
      </c>
      <c r="F146" s="239">
        <v>0</v>
      </c>
      <c r="G146" s="434">
        <v>0</v>
      </c>
      <c r="H146" s="554">
        <v>6</v>
      </c>
    </row>
    <row r="147" spans="2:8" s="149" customFormat="1">
      <c r="B147" s="191" t="s">
        <v>49</v>
      </c>
      <c r="C147" s="241">
        <v>0</v>
      </c>
      <c r="D147" s="241">
        <v>0</v>
      </c>
      <c r="E147" s="241">
        <v>0</v>
      </c>
      <c r="F147" s="242">
        <v>0</v>
      </c>
      <c r="G147" s="241">
        <v>0</v>
      </c>
      <c r="H147" s="203">
        <v>0</v>
      </c>
    </row>
    <row r="148" spans="2:8" s="149" customFormat="1">
      <c r="B148" s="188" t="s">
        <v>50</v>
      </c>
      <c r="C148" s="238">
        <v>0</v>
      </c>
      <c r="D148" s="238">
        <v>0</v>
      </c>
      <c r="E148" s="238">
        <v>6</v>
      </c>
      <c r="F148" s="238">
        <v>0</v>
      </c>
      <c r="G148" s="435">
        <v>0</v>
      </c>
      <c r="H148" s="554">
        <v>6</v>
      </c>
    </row>
    <row r="149" spans="2:8" s="149" customFormat="1">
      <c r="B149" s="194" t="s">
        <v>51</v>
      </c>
      <c r="C149" s="96">
        <f>IFERROR(C147/$H$148,"..")</f>
        <v>0</v>
      </c>
      <c r="D149" s="96">
        <f t="shared" ref="D149:H149" si="19">IFERROR(D147/$H$148,"..")</f>
        <v>0</v>
      </c>
      <c r="E149" s="96">
        <f t="shared" si="19"/>
        <v>0</v>
      </c>
      <c r="F149" s="96">
        <f t="shared" si="19"/>
        <v>0</v>
      </c>
      <c r="G149" s="96">
        <f t="shared" si="19"/>
        <v>0</v>
      </c>
      <c r="H149" s="97">
        <f t="shared" si="19"/>
        <v>0</v>
      </c>
    </row>
    <row r="150" spans="2:8" s="149" customFormat="1">
      <c r="B150" s="195" t="s">
        <v>146</v>
      </c>
      <c r="C150" s="196"/>
      <c r="D150" s="196"/>
      <c r="E150" s="196"/>
      <c r="F150" s="196"/>
      <c r="G150" s="196"/>
      <c r="H150" s="197"/>
    </row>
    <row r="151" spans="2:8" s="149" customFormat="1">
      <c r="B151" s="191" t="s">
        <v>48</v>
      </c>
      <c r="C151" s="241">
        <v>0</v>
      </c>
      <c r="D151" s="241">
        <v>0</v>
      </c>
      <c r="E151" s="241">
        <v>0</v>
      </c>
      <c r="F151" s="241">
        <v>0</v>
      </c>
      <c r="G151" s="241">
        <v>0</v>
      </c>
      <c r="H151" s="203">
        <v>5</v>
      </c>
    </row>
    <row r="152" spans="2:8" s="149" customFormat="1">
      <c r="B152" s="188" t="s">
        <v>49</v>
      </c>
      <c r="C152" s="238">
        <v>0</v>
      </c>
      <c r="D152" s="238">
        <v>0</v>
      </c>
      <c r="E152" s="238">
        <v>0</v>
      </c>
      <c r="F152" s="238">
        <v>0</v>
      </c>
      <c r="G152" s="238">
        <v>0</v>
      </c>
      <c r="H152" s="554">
        <v>0</v>
      </c>
    </row>
    <row r="153" spans="2:8" s="149" customFormat="1">
      <c r="B153" s="191" t="s">
        <v>50</v>
      </c>
      <c r="C153" s="241">
        <v>0</v>
      </c>
      <c r="D153" s="241">
        <v>0</v>
      </c>
      <c r="E153" s="241">
        <v>0</v>
      </c>
      <c r="F153" s="241">
        <v>0</v>
      </c>
      <c r="G153" s="241">
        <v>0</v>
      </c>
      <c r="H153" s="203">
        <v>5</v>
      </c>
    </row>
    <row r="154" spans="2:8" s="149" customFormat="1">
      <c r="B154" s="202" t="s">
        <v>51</v>
      </c>
      <c r="C154" s="98">
        <f>IFERROR(C152/$H$153,"..")</f>
        <v>0</v>
      </c>
      <c r="D154" s="98">
        <f t="shared" ref="D154:H154" si="20">IFERROR(D152/$H$153,"..")</f>
        <v>0</v>
      </c>
      <c r="E154" s="98">
        <f t="shared" si="20"/>
        <v>0</v>
      </c>
      <c r="F154" s="98">
        <f t="shared" si="20"/>
        <v>0</v>
      </c>
      <c r="G154" s="98">
        <f t="shared" si="20"/>
        <v>0</v>
      </c>
      <c r="H154" s="100">
        <f t="shared" si="20"/>
        <v>0</v>
      </c>
    </row>
    <row r="155" spans="2:8" s="149" customFormat="1">
      <c r="B155" s="185" t="s">
        <v>105</v>
      </c>
      <c r="C155" s="186"/>
      <c r="D155" s="186"/>
      <c r="E155" s="186"/>
      <c r="F155" s="186"/>
      <c r="G155" s="186"/>
      <c r="H155" s="187"/>
    </row>
    <row r="156" spans="2:8" s="149" customFormat="1">
      <c r="B156" s="188" t="s">
        <v>48</v>
      </c>
      <c r="C156" s="238">
        <v>0</v>
      </c>
      <c r="D156" s="238">
        <v>0</v>
      </c>
      <c r="E156" s="238">
        <v>3</v>
      </c>
      <c r="F156" s="238">
        <v>0</v>
      </c>
      <c r="G156" s="238">
        <v>0</v>
      </c>
      <c r="H156" s="554">
        <v>3</v>
      </c>
    </row>
    <row r="157" spans="2:8" s="149" customFormat="1">
      <c r="B157" s="191" t="s">
        <v>49</v>
      </c>
      <c r="C157" s="241">
        <v>0</v>
      </c>
      <c r="D157" s="241">
        <v>0</v>
      </c>
      <c r="E157" s="241">
        <v>0</v>
      </c>
      <c r="F157" s="241">
        <v>0</v>
      </c>
      <c r="G157" s="241">
        <v>0</v>
      </c>
      <c r="H157" s="203">
        <v>0</v>
      </c>
    </row>
    <row r="158" spans="2:8" s="149" customFormat="1">
      <c r="B158" s="188" t="s">
        <v>50</v>
      </c>
      <c r="C158" s="238">
        <v>0</v>
      </c>
      <c r="D158" s="238">
        <v>0</v>
      </c>
      <c r="E158" s="238">
        <v>3</v>
      </c>
      <c r="F158" s="238">
        <v>0</v>
      </c>
      <c r="G158" s="238">
        <v>0</v>
      </c>
      <c r="H158" s="554">
        <v>3</v>
      </c>
    </row>
    <row r="159" spans="2:8" s="149" customFormat="1">
      <c r="B159" s="194" t="s">
        <v>51</v>
      </c>
      <c r="C159" s="96">
        <f>IFERROR(C157/$H$158,"..")</f>
        <v>0</v>
      </c>
      <c r="D159" s="96">
        <f t="shared" ref="D159:H159" si="21">IFERROR(D157/$H$158,"..")</f>
        <v>0</v>
      </c>
      <c r="E159" s="96">
        <f t="shared" si="21"/>
        <v>0</v>
      </c>
      <c r="F159" s="96">
        <f t="shared" si="21"/>
        <v>0</v>
      </c>
      <c r="G159" s="96">
        <f t="shared" si="21"/>
        <v>0</v>
      </c>
      <c r="H159" s="97">
        <f t="shared" si="21"/>
        <v>0</v>
      </c>
    </row>
    <row r="160" spans="2:8" s="149" customFormat="1">
      <c r="B160" s="195" t="s">
        <v>114</v>
      </c>
      <c r="C160" s="196"/>
      <c r="D160" s="196"/>
      <c r="E160" s="196"/>
      <c r="F160" s="196"/>
      <c r="G160" s="196"/>
      <c r="H160" s="197"/>
    </row>
    <row r="161" spans="2:10" s="149" customFormat="1">
      <c r="B161" s="191" t="s">
        <v>48</v>
      </c>
      <c r="C161" s="241">
        <v>629</v>
      </c>
      <c r="D161" s="241">
        <v>448</v>
      </c>
      <c r="E161" s="241">
        <v>798</v>
      </c>
      <c r="F161" s="241">
        <v>393</v>
      </c>
      <c r="G161" s="241">
        <v>78</v>
      </c>
      <c r="H161" s="203">
        <v>2347</v>
      </c>
    </row>
    <row r="162" spans="2:10" s="149" customFormat="1">
      <c r="B162" s="188" t="s">
        <v>49</v>
      </c>
      <c r="C162" s="238">
        <v>279</v>
      </c>
      <c r="D162" s="238">
        <v>26</v>
      </c>
      <c r="E162" s="238">
        <v>51</v>
      </c>
      <c r="F162" s="238">
        <v>55</v>
      </c>
      <c r="G162" s="238">
        <v>55</v>
      </c>
      <c r="H162" s="554">
        <v>467</v>
      </c>
    </row>
    <row r="163" spans="2:10" s="149" customFormat="1">
      <c r="B163" s="191" t="s">
        <v>50</v>
      </c>
      <c r="C163" s="241">
        <v>940</v>
      </c>
      <c r="D163" s="241">
        <v>483</v>
      </c>
      <c r="E163" s="241">
        <v>865</v>
      </c>
      <c r="F163" s="241">
        <v>453</v>
      </c>
      <c r="G163" s="241">
        <v>131</v>
      </c>
      <c r="H163" s="203">
        <v>2872</v>
      </c>
    </row>
    <row r="164" spans="2:10" s="149" customFormat="1">
      <c r="B164" s="202" t="s">
        <v>51</v>
      </c>
      <c r="C164" s="101">
        <f>IFERROR(C162/$H$163,"-")</f>
        <v>9.7144846796657386E-2</v>
      </c>
      <c r="D164" s="101">
        <f t="shared" ref="D164:H164" si="22">IFERROR(D162/$H$163,"-")</f>
        <v>9.0529247910863513E-3</v>
      </c>
      <c r="E164" s="101">
        <f t="shared" si="22"/>
        <v>1.7757660167130918E-2</v>
      </c>
      <c r="F164" s="101">
        <f t="shared" si="22"/>
        <v>1.9150417827298049E-2</v>
      </c>
      <c r="G164" s="101">
        <f t="shared" si="22"/>
        <v>1.9150417827298049E-2</v>
      </c>
      <c r="H164" s="99">
        <f t="shared" si="22"/>
        <v>0.16260445682451252</v>
      </c>
    </row>
    <row r="165" spans="2:10" s="149" customFormat="1"/>
    <row r="166" spans="2:10" ht="23.25">
      <c r="B166" s="127" t="s">
        <v>680</v>
      </c>
    </row>
    <row r="167" spans="2:10" ht="15.75">
      <c r="B167" s="150" t="s">
        <v>826</v>
      </c>
      <c r="J167" s="134"/>
    </row>
    <row r="168" spans="2:10" ht="25.5">
      <c r="B168" s="638"/>
      <c r="C168" s="1234" t="s">
        <v>125</v>
      </c>
      <c r="D168" s="1234"/>
      <c r="E168" s="1234"/>
      <c r="F168" s="1238"/>
      <c r="G168" s="607" t="s">
        <v>10</v>
      </c>
      <c r="H168" s="212" t="s">
        <v>58</v>
      </c>
      <c r="I168" s="213" t="s">
        <v>70</v>
      </c>
    </row>
    <row r="169" spans="2:10" ht="63.75">
      <c r="B169" s="639" t="s">
        <v>879</v>
      </c>
      <c r="C169" s="214" t="s">
        <v>61</v>
      </c>
      <c r="D169" s="214" t="s">
        <v>60</v>
      </c>
      <c r="E169" s="214" t="s">
        <v>59</v>
      </c>
      <c r="F169" s="609" t="s">
        <v>848</v>
      </c>
      <c r="G169" s="214" t="s">
        <v>122</v>
      </c>
      <c r="H169" s="214" t="s">
        <v>123</v>
      </c>
      <c r="I169" s="215" t="s">
        <v>124</v>
      </c>
    </row>
    <row r="170" spans="2:10">
      <c r="B170" s="640" t="s">
        <v>118</v>
      </c>
      <c r="C170" s="610">
        <v>2793</v>
      </c>
      <c r="D170" s="610">
        <v>0</v>
      </c>
      <c r="E170" s="610">
        <v>0</v>
      </c>
      <c r="F170" s="610">
        <v>27</v>
      </c>
      <c r="G170" s="610">
        <v>0</v>
      </c>
      <c r="H170" s="610">
        <v>5</v>
      </c>
      <c r="I170" s="611">
        <v>2826</v>
      </c>
    </row>
    <row r="171" spans="2:10">
      <c r="B171" s="640" t="s">
        <v>116</v>
      </c>
      <c r="C171" s="610">
        <v>262</v>
      </c>
      <c r="D171" s="610">
        <v>0</v>
      </c>
      <c r="E171" s="610">
        <v>24</v>
      </c>
      <c r="F171" s="610">
        <v>3</v>
      </c>
      <c r="G171" s="610">
        <v>3</v>
      </c>
      <c r="H171" s="610">
        <v>21</v>
      </c>
      <c r="I171" s="611">
        <v>307</v>
      </c>
    </row>
    <row r="172" spans="2:10">
      <c r="B172" s="640" t="s">
        <v>115</v>
      </c>
      <c r="C172" s="610">
        <v>117</v>
      </c>
      <c r="D172" s="610">
        <v>12</v>
      </c>
      <c r="E172" s="610">
        <v>22</v>
      </c>
      <c r="F172" s="610">
        <v>0</v>
      </c>
      <c r="G172" s="610">
        <v>34</v>
      </c>
      <c r="H172" s="610">
        <v>5</v>
      </c>
      <c r="I172" s="611">
        <v>192</v>
      </c>
    </row>
    <row r="173" spans="2:10">
      <c r="B173" s="640" t="s">
        <v>117</v>
      </c>
      <c r="C173" s="610">
        <v>54</v>
      </c>
      <c r="D173" s="610">
        <v>0</v>
      </c>
      <c r="E173" s="610">
        <v>11</v>
      </c>
      <c r="F173" s="610">
        <v>0</v>
      </c>
      <c r="G173" s="610">
        <v>12</v>
      </c>
      <c r="H173" s="610">
        <v>3</v>
      </c>
      <c r="I173" s="611">
        <v>83</v>
      </c>
    </row>
    <row r="174" spans="2:10">
      <c r="B174" s="640" t="s">
        <v>119</v>
      </c>
      <c r="C174" s="610">
        <v>42</v>
      </c>
      <c r="D174" s="610">
        <v>0</v>
      </c>
      <c r="E174" s="610">
        <v>7</v>
      </c>
      <c r="F174" s="610">
        <v>3</v>
      </c>
      <c r="G174" s="610">
        <v>12</v>
      </c>
      <c r="H174" s="610">
        <v>0</v>
      </c>
      <c r="I174" s="611">
        <v>61</v>
      </c>
    </row>
    <row r="175" spans="2:10">
      <c r="B175" s="640" t="s">
        <v>97</v>
      </c>
      <c r="C175" s="610">
        <v>26</v>
      </c>
      <c r="D175" s="610">
        <v>0</v>
      </c>
      <c r="E175" s="610">
        <v>0</v>
      </c>
      <c r="F175" s="610">
        <v>4</v>
      </c>
      <c r="G175" s="610">
        <v>5</v>
      </c>
      <c r="H175" s="610">
        <v>0</v>
      </c>
      <c r="I175" s="611">
        <v>37</v>
      </c>
    </row>
    <row r="176" spans="2:10">
      <c r="B176" s="640" t="s">
        <v>98</v>
      </c>
      <c r="C176" s="610">
        <v>3</v>
      </c>
      <c r="D176" s="610">
        <v>0</v>
      </c>
      <c r="E176" s="610">
        <v>0</v>
      </c>
      <c r="F176" s="610">
        <v>0</v>
      </c>
      <c r="G176" s="610">
        <v>0</v>
      </c>
      <c r="H176" s="610">
        <v>0</v>
      </c>
      <c r="I176" s="611">
        <v>7</v>
      </c>
    </row>
    <row r="177" spans="2:12">
      <c r="B177" s="640" t="s">
        <v>111</v>
      </c>
      <c r="C177" s="610">
        <v>0</v>
      </c>
      <c r="D177" s="610">
        <v>5</v>
      </c>
      <c r="E177" s="610">
        <v>3</v>
      </c>
      <c r="F177" s="610">
        <v>0</v>
      </c>
      <c r="G177" s="610">
        <v>0</v>
      </c>
      <c r="H177" s="610">
        <v>0</v>
      </c>
      <c r="I177" s="611">
        <v>12</v>
      </c>
      <c r="L177" s="641"/>
    </row>
    <row r="178" spans="2:12">
      <c r="B178" s="640" t="s">
        <v>245</v>
      </c>
      <c r="C178" s="610">
        <v>3</v>
      </c>
      <c r="D178" s="610">
        <v>0</v>
      </c>
      <c r="E178" s="610">
        <v>0</v>
      </c>
      <c r="F178" s="610">
        <v>0</v>
      </c>
      <c r="G178" s="610">
        <v>16</v>
      </c>
      <c r="H178" s="610">
        <v>0</v>
      </c>
      <c r="I178" s="611">
        <v>21</v>
      </c>
    </row>
    <row r="179" spans="2:12">
      <c r="B179" s="642" t="s">
        <v>105</v>
      </c>
      <c r="C179" s="643">
        <v>4</v>
      </c>
      <c r="D179" s="643">
        <v>0</v>
      </c>
      <c r="E179" s="643">
        <v>0</v>
      </c>
      <c r="F179" s="643">
        <v>0</v>
      </c>
      <c r="G179" s="643">
        <v>0</v>
      </c>
      <c r="H179" s="643">
        <v>0</v>
      </c>
      <c r="I179" s="644">
        <v>4</v>
      </c>
    </row>
    <row r="180" spans="2:12">
      <c r="B180" s="389" t="s">
        <v>878</v>
      </c>
    </row>
    <row r="181" spans="2:12">
      <c r="B181" s="389"/>
    </row>
    <row r="182" spans="2:12" s="149" customFormat="1" ht="23.25">
      <c r="B182" s="127" t="s">
        <v>681</v>
      </c>
    </row>
    <row r="183" spans="2:12" s="149" customFormat="1" ht="15.75">
      <c r="B183" s="150" t="s">
        <v>62</v>
      </c>
    </row>
    <row r="184" spans="2:12" s="149" customFormat="1" ht="25.5">
      <c r="B184" s="173" t="s">
        <v>64</v>
      </c>
      <c r="C184" s="222" t="s">
        <v>37</v>
      </c>
      <c r="D184" s="222" t="s">
        <v>38</v>
      </c>
      <c r="E184" s="222" t="s">
        <v>6</v>
      </c>
      <c r="F184" s="222" t="s">
        <v>1</v>
      </c>
      <c r="G184" s="223" t="s">
        <v>7</v>
      </c>
      <c r="H184" s="222" t="s">
        <v>65</v>
      </c>
      <c r="I184" s="222" t="s">
        <v>8</v>
      </c>
    </row>
    <row r="185" spans="2:12" s="149" customFormat="1">
      <c r="B185" s="645" t="s">
        <v>154</v>
      </c>
      <c r="C185" s="103">
        <v>393</v>
      </c>
      <c r="D185" s="103">
        <v>520</v>
      </c>
      <c r="E185" s="103">
        <v>915</v>
      </c>
      <c r="F185" s="224">
        <f>Table792226811241526[[#This Row],[Persons]]/$C$15</f>
        <v>0.24918300653594772</v>
      </c>
      <c r="G185" s="228">
        <v>969</v>
      </c>
      <c r="H185" s="103">
        <f>IFERROR(Table792226811241526[[#This Row],[Persons]]-Table792226811241526[[#This Row],[2011 Census]],"..")</f>
        <v>-54</v>
      </c>
      <c r="I185" s="64">
        <f>IFERROR((Table792226811241526[[#This Row],[Persons]]-Table792226811241526[[#This Row],[2011 Census]])/Table792226811241526[[#This Row],[2011 Census]],"..")</f>
        <v>-5.5727554179566562E-2</v>
      </c>
    </row>
    <row r="186" spans="2:12" s="149" customFormat="1">
      <c r="B186" s="646" t="s">
        <v>152</v>
      </c>
      <c r="C186" s="106">
        <v>444</v>
      </c>
      <c r="D186" s="106">
        <v>464</v>
      </c>
      <c r="E186" s="106">
        <v>910</v>
      </c>
      <c r="F186" s="226">
        <f>Table792226811241526[[#This Row],[Persons]]/$C$15</f>
        <v>0.24782135076252723</v>
      </c>
      <c r="G186" s="227">
        <v>753</v>
      </c>
      <c r="H186" s="106">
        <f>IFERROR(Table792226811241526[[#This Row],[Persons]]-Table792226811241526[[#This Row],[2011 Census]],"..")</f>
        <v>157</v>
      </c>
      <c r="I186" s="54">
        <f>IFERROR((Table792226811241526[[#This Row],[Persons]]-Table792226811241526[[#This Row],[2011 Census]])/Table792226811241526[[#This Row],[2011 Census]],"..")</f>
        <v>0.20849933598937584</v>
      </c>
    </row>
    <row r="187" spans="2:12" s="149" customFormat="1">
      <c r="B187" s="645" t="s">
        <v>149</v>
      </c>
      <c r="C187" s="103">
        <v>273</v>
      </c>
      <c r="D187" s="103">
        <v>241</v>
      </c>
      <c r="E187" s="103">
        <v>508</v>
      </c>
      <c r="F187" s="224">
        <f>Table792226811241526[[#This Row],[Persons]]/$C$15</f>
        <v>0.1383442265795207</v>
      </c>
      <c r="G187" s="228">
        <v>461</v>
      </c>
      <c r="H187" s="103">
        <f>IFERROR(Table792226811241526[[#This Row],[Persons]]-Table792226811241526[[#This Row],[2011 Census]],"..")</f>
        <v>47</v>
      </c>
      <c r="I187" s="64">
        <f>IFERROR((Table792226811241526[[#This Row],[Persons]]-Table792226811241526[[#This Row],[2011 Census]])/Table792226811241526[[#This Row],[2011 Census]],"..")</f>
        <v>0.1019522776572668</v>
      </c>
    </row>
    <row r="188" spans="2:12" s="149" customFormat="1">
      <c r="B188" s="646" t="s">
        <v>150</v>
      </c>
      <c r="C188" s="106">
        <v>152</v>
      </c>
      <c r="D188" s="106">
        <v>146</v>
      </c>
      <c r="E188" s="106">
        <v>301</v>
      </c>
      <c r="F188" s="226">
        <f>Table792226811241526[[#This Row],[Persons]]/$C$15</f>
        <v>8.1971677559912859E-2</v>
      </c>
      <c r="G188" s="227">
        <v>303</v>
      </c>
      <c r="H188" s="106">
        <f>IFERROR(Table792226811241526[[#This Row],[Persons]]-Table792226811241526[[#This Row],[2011 Census]],"..")</f>
        <v>-2</v>
      </c>
      <c r="I188" s="54">
        <f>IFERROR((Table792226811241526[[#This Row],[Persons]]-Table792226811241526[[#This Row],[2011 Census]])/Table792226811241526[[#This Row],[2011 Census]],"..")</f>
        <v>-6.6006600660066007E-3</v>
      </c>
    </row>
    <row r="189" spans="2:12" s="149" customFormat="1">
      <c r="B189" s="645" t="s">
        <v>155</v>
      </c>
      <c r="C189" s="103">
        <v>114</v>
      </c>
      <c r="D189" s="103">
        <v>140</v>
      </c>
      <c r="E189" s="103">
        <v>257</v>
      </c>
      <c r="F189" s="224">
        <f>Table792226811241526[[#This Row],[Persons]]/$C$15</f>
        <v>6.9989106753812633E-2</v>
      </c>
      <c r="G189" s="228">
        <v>258</v>
      </c>
      <c r="H189" s="103">
        <f>IFERROR(Table792226811241526[[#This Row],[Persons]]-Table792226811241526[[#This Row],[2011 Census]],"..")</f>
        <v>-1</v>
      </c>
      <c r="I189" s="64">
        <f>IFERROR((Table792226811241526[[#This Row],[Persons]]-Table792226811241526[[#This Row],[2011 Census]])/Table792226811241526[[#This Row],[2011 Census]],"..")</f>
        <v>-3.875968992248062E-3</v>
      </c>
    </row>
    <row r="190" spans="2:12" s="149" customFormat="1">
      <c r="B190" s="646" t="s">
        <v>164</v>
      </c>
      <c r="C190" s="106">
        <v>116</v>
      </c>
      <c r="D190" s="106">
        <v>105</v>
      </c>
      <c r="E190" s="106">
        <v>217</v>
      </c>
      <c r="F190" s="226">
        <f>Table792226811241526[[#This Row],[Persons]]/$C$15</f>
        <v>5.9095860566448805E-2</v>
      </c>
      <c r="G190" s="227">
        <v>18</v>
      </c>
      <c r="H190" s="106">
        <f>IFERROR(Table792226811241526[[#This Row],[Persons]]-Table792226811241526[[#This Row],[2011 Census]],"..")</f>
        <v>199</v>
      </c>
      <c r="I190" s="54">
        <f>IFERROR((Table792226811241526[[#This Row],[Persons]]-Table792226811241526[[#This Row],[2011 Census]])/Table792226811241526[[#This Row],[2011 Census]],"..")</f>
        <v>11.055555555555555</v>
      </c>
    </row>
    <row r="191" spans="2:12" s="149" customFormat="1">
      <c r="B191" s="645" t="s">
        <v>151</v>
      </c>
      <c r="C191" s="103">
        <v>36</v>
      </c>
      <c r="D191" s="103">
        <v>35</v>
      </c>
      <c r="E191" s="103">
        <v>74</v>
      </c>
      <c r="F191" s="224">
        <f>Table792226811241526[[#This Row],[Persons]]/$C$15</f>
        <v>2.0152505446623094E-2</v>
      </c>
      <c r="G191" s="228">
        <v>91</v>
      </c>
      <c r="H191" s="103">
        <f>IFERROR(Table792226811241526[[#This Row],[Persons]]-Table792226811241526[[#This Row],[2011 Census]],"..")</f>
        <v>-17</v>
      </c>
      <c r="I191" s="64">
        <f>IFERROR((Table792226811241526[[#This Row],[Persons]]-Table792226811241526[[#This Row],[2011 Census]])/Table792226811241526[[#This Row],[2011 Census]],"..")</f>
        <v>-0.18681318681318682</v>
      </c>
    </row>
    <row r="192" spans="2:12" s="149" customFormat="1">
      <c r="B192" s="646" t="s">
        <v>153</v>
      </c>
      <c r="C192" s="106">
        <v>10</v>
      </c>
      <c r="D192" s="106">
        <v>16</v>
      </c>
      <c r="E192" s="106">
        <v>25</v>
      </c>
      <c r="F192" s="226">
        <f>Table792226811241526[[#This Row],[Persons]]/$C$15</f>
        <v>6.8082788671023969E-3</v>
      </c>
      <c r="G192" s="227">
        <v>49</v>
      </c>
      <c r="H192" s="106">
        <f>IFERROR(Table792226811241526[[#This Row],[Persons]]-Table792226811241526[[#This Row],[2011 Census]],"..")</f>
        <v>-24</v>
      </c>
      <c r="I192" s="54">
        <f>IFERROR((Table792226811241526[[#This Row],[Persons]]-Table792226811241526[[#This Row],[2011 Census]])/Table792226811241526[[#This Row],[2011 Census]],"..")</f>
        <v>-0.48979591836734693</v>
      </c>
    </row>
    <row r="193" spans="2:9" s="149" customFormat="1">
      <c r="B193" s="645" t="s">
        <v>159</v>
      </c>
      <c r="C193" s="103">
        <v>10</v>
      </c>
      <c r="D193" s="103">
        <v>15</v>
      </c>
      <c r="E193" s="103">
        <v>23</v>
      </c>
      <c r="F193" s="224">
        <f>Table792226811241526[[#This Row],[Persons]]/$C$15</f>
        <v>6.2636165577342048E-3</v>
      </c>
      <c r="G193" s="228">
        <v>41</v>
      </c>
      <c r="H193" s="103">
        <f>IFERROR(Table792226811241526[[#This Row],[Persons]]-Table792226811241526[[#This Row],[2011 Census]],"..")</f>
        <v>-18</v>
      </c>
      <c r="I193" s="64">
        <f>IFERROR((Table792226811241526[[#This Row],[Persons]]-Table792226811241526[[#This Row],[2011 Census]])/Table792226811241526[[#This Row],[2011 Census]],"..")</f>
        <v>-0.43902439024390244</v>
      </c>
    </row>
    <row r="194" spans="2:9" s="149" customFormat="1">
      <c r="B194" s="646" t="s">
        <v>157</v>
      </c>
      <c r="C194" s="106">
        <v>15</v>
      </c>
      <c r="D194" s="106">
        <v>10</v>
      </c>
      <c r="E194" s="106">
        <v>19</v>
      </c>
      <c r="F194" s="226">
        <f>Table792226811241526[[#This Row],[Persons]]/$C$15</f>
        <v>5.1742919389978215E-3</v>
      </c>
      <c r="G194" s="227">
        <v>18</v>
      </c>
      <c r="H194" s="106">
        <f>IFERROR(Table792226811241526[[#This Row],[Persons]]-Table792226811241526[[#This Row],[2011 Census]],"..")</f>
        <v>1</v>
      </c>
      <c r="I194" s="54">
        <f>IFERROR((Table792226811241526[[#This Row],[Persons]]-Table792226811241526[[#This Row],[2011 Census]])/Table792226811241526[[#This Row],[2011 Census]],"..")</f>
        <v>5.5555555555555552E-2</v>
      </c>
    </row>
    <row r="195" spans="2:9" s="149" customFormat="1">
      <c r="B195" s="645" t="s">
        <v>156</v>
      </c>
      <c r="C195" s="103">
        <v>0</v>
      </c>
      <c r="D195" s="103">
        <v>7</v>
      </c>
      <c r="E195" s="103">
        <v>9</v>
      </c>
      <c r="F195" s="224">
        <f>Table792226811241526[[#This Row],[Persons]]/$C$15</f>
        <v>2.4509803921568627E-3</v>
      </c>
      <c r="G195" s="228">
        <v>8</v>
      </c>
      <c r="H195" s="103">
        <f>IFERROR(Table792226811241526[[#This Row],[Persons]]-Table792226811241526[[#This Row],[2011 Census]],"..")</f>
        <v>1</v>
      </c>
      <c r="I195" s="64">
        <f>IFERROR((Table792226811241526[[#This Row],[Persons]]-Table792226811241526[[#This Row],[2011 Census]])/Table792226811241526[[#This Row],[2011 Census]],"..")</f>
        <v>0.125</v>
      </c>
    </row>
    <row r="196" spans="2:9" s="149" customFormat="1">
      <c r="B196" s="646" t="s">
        <v>165</v>
      </c>
      <c r="C196" s="106">
        <v>3</v>
      </c>
      <c r="D196" s="106">
        <v>0</v>
      </c>
      <c r="E196" s="106">
        <v>6</v>
      </c>
      <c r="F196" s="226">
        <f>Table792226811241526[[#This Row],[Persons]]/$C$15</f>
        <v>1.6339869281045752E-3</v>
      </c>
      <c r="G196" s="227">
        <v>0</v>
      </c>
      <c r="H196" s="106">
        <f>IFERROR(Table792226811241526[[#This Row],[Persons]]-Table792226811241526[[#This Row],[2011 Census]],"..")</f>
        <v>6</v>
      </c>
      <c r="I196" s="54" t="str">
        <f>IFERROR((Table792226811241526[[#This Row],[Persons]]-Table792226811241526[[#This Row],[2011 Census]])/Table792226811241526[[#This Row],[2011 Census]],"..")</f>
        <v>..</v>
      </c>
    </row>
    <row r="197" spans="2:9" s="149" customFormat="1">
      <c r="B197" s="645" t="s">
        <v>161</v>
      </c>
      <c r="C197" s="103">
        <v>0</v>
      </c>
      <c r="D197" s="103">
        <v>0</v>
      </c>
      <c r="E197" s="103">
        <v>4</v>
      </c>
      <c r="F197" s="224">
        <f>Table792226811241526[[#This Row],[Persons]]/$C$15</f>
        <v>1.0893246187363835E-3</v>
      </c>
      <c r="G197" s="228">
        <v>8</v>
      </c>
      <c r="H197" s="103">
        <f>IFERROR(Table792226811241526[[#This Row],[Persons]]-Table792226811241526[[#This Row],[2011 Census]],"..")</f>
        <v>-4</v>
      </c>
      <c r="I197" s="64">
        <f>IFERROR((Table792226811241526[[#This Row],[Persons]]-Table792226811241526[[#This Row],[2011 Census]])/Table792226811241526[[#This Row],[2011 Census]],"..")</f>
        <v>-0.5</v>
      </c>
    </row>
    <row r="198" spans="2:9" s="149" customFormat="1">
      <c r="B198" s="646" t="s">
        <v>162</v>
      </c>
      <c r="C198" s="106">
        <v>3</v>
      </c>
      <c r="D198" s="106">
        <v>0</v>
      </c>
      <c r="E198" s="106">
        <v>4</v>
      </c>
      <c r="F198" s="226">
        <f>Table792226811241526[[#This Row],[Persons]]/$C$15</f>
        <v>1.0893246187363835E-3</v>
      </c>
      <c r="G198" s="227">
        <v>14</v>
      </c>
      <c r="H198" s="106">
        <f>IFERROR(Table792226811241526[[#This Row],[Persons]]-Table792226811241526[[#This Row],[2011 Census]],"..")</f>
        <v>-10</v>
      </c>
      <c r="I198" s="54">
        <f>IFERROR((Table792226811241526[[#This Row],[Persons]]-Table792226811241526[[#This Row],[2011 Census]])/Table792226811241526[[#This Row],[2011 Census]],"..")</f>
        <v>-0.7142857142857143</v>
      </c>
    </row>
    <row r="199" spans="2:9" s="149" customFormat="1">
      <c r="B199" s="645" t="s">
        <v>167</v>
      </c>
      <c r="C199" s="103">
        <v>3</v>
      </c>
      <c r="D199" s="103">
        <v>0</v>
      </c>
      <c r="E199" s="103">
        <v>3</v>
      </c>
      <c r="F199" s="224">
        <f>Table792226811241526[[#This Row],[Persons]]/$C$15</f>
        <v>8.1699346405228761E-4</v>
      </c>
      <c r="G199" s="228">
        <v>0</v>
      </c>
      <c r="H199" s="103">
        <f>IFERROR(Table792226811241526[[#This Row],[Persons]]-Table792226811241526[[#This Row],[2011 Census]],"..")</f>
        <v>3</v>
      </c>
      <c r="I199" s="64" t="str">
        <f>IFERROR((Table792226811241526[[#This Row],[Persons]]-Table792226811241526[[#This Row],[2011 Census]])/Table792226811241526[[#This Row],[2011 Census]],"..")</f>
        <v>..</v>
      </c>
    </row>
    <row r="200" spans="2:9" s="149" customFormat="1">
      <c r="B200" s="646"/>
      <c r="C200" s="106"/>
      <c r="D200" s="106"/>
      <c r="E200" s="106"/>
      <c r="F200" s="226"/>
      <c r="G200" s="227"/>
      <c r="H200" s="106"/>
      <c r="I200" s="54"/>
    </row>
    <row r="201" spans="2:9" s="149" customFormat="1">
      <c r="B201" s="645"/>
      <c r="C201" s="103"/>
      <c r="D201" s="103"/>
      <c r="E201" s="103"/>
      <c r="F201" s="224"/>
      <c r="G201" s="228"/>
      <c r="H201" s="103"/>
      <c r="I201" s="64"/>
    </row>
    <row r="202" spans="2:9" s="149" customFormat="1">
      <c r="B202" s="646"/>
      <c r="C202" s="106"/>
      <c r="D202" s="106"/>
      <c r="E202" s="106"/>
      <c r="F202" s="226"/>
      <c r="G202" s="227"/>
      <c r="H202" s="106"/>
      <c r="I202" s="54"/>
    </row>
    <row r="203" spans="2:9" s="149" customFormat="1">
      <c r="B203" s="645"/>
      <c r="C203" s="103"/>
      <c r="D203" s="103"/>
      <c r="E203" s="103"/>
      <c r="F203" s="226"/>
      <c r="G203" s="228"/>
      <c r="H203" s="103"/>
      <c r="I203" s="54"/>
    </row>
    <row r="204" spans="2:9" s="149" customFormat="1">
      <c r="B204" s="646"/>
      <c r="C204" s="106"/>
      <c r="D204" s="106"/>
      <c r="E204" s="106"/>
      <c r="F204" s="226"/>
      <c r="G204" s="227"/>
      <c r="H204" s="106"/>
      <c r="I204" s="54"/>
    </row>
    <row r="205" spans="2:9" s="149" customFormat="1">
      <c r="B205" s="158" t="s">
        <v>71</v>
      </c>
      <c r="C205" s="103">
        <v>29</v>
      </c>
      <c r="D205" s="103">
        <v>30</v>
      </c>
      <c r="E205" s="103">
        <v>60</v>
      </c>
      <c r="F205" s="226">
        <f>Table792226811241526[[#This Row],[Persons]]/$C$15</f>
        <v>1.6339869281045753E-2</v>
      </c>
      <c r="G205" s="227">
        <v>138</v>
      </c>
      <c r="H205" s="103">
        <f>IFERROR(Table792226811241526[[#This Row],[Persons]]-Table792226811241526[[#This Row],[2011 Census]],"..")</f>
        <v>-78</v>
      </c>
      <c r="I205" s="54">
        <f>IFERROR((Table792226811241526[[#This Row],[Persons]]-Table792226811241526[[#This Row],[2011 Census]])/Table792226811241526[[#This Row],[2011 Census]],"..")</f>
        <v>-0.56521739130434778</v>
      </c>
    </row>
    <row r="206" spans="2:9" s="149" customFormat="1">
      <c r="B206" s="158" t="s">
        <v>58</v>
      </c>
      <c r="C206" s="106">
        <v>167</v>
      </c>
      <c r="D206" s="106">
        <v>171</v>
      </c>
      <c r="E206" s="106">
        <v>339</v>
      </c>
      <c r="F206" s="226">
        <f>Table792226811241526[[#This Row],[Persons]]/$C$15</f>
        <v>9.2320261437908502E-2</v>
      </c>
      <c r="G206" s="227">
        <v>592</v>
      </c>
      <c r="H206" s="106">
        <f>IFERROR(Table792226811241526[[#This Row],[Persons]]-Table792226811241526[[#This Row],[2011 Census]],"..")</f>
        <v>-253</v>
      </c>
      <c r="I206" s="54">
        <f>IFERROR((Table792226811241526[[#This Row],[Persons]]-Table792226811241526[[#This Row],[2011 Census]])/Table792226811241526[[#This Row],[2011 Census]],"..")</f>
        <v>-0.42736486486486486</v>
      </c>
    </row>
    <row r="207" spans="2:9" s="149" customFormat="1" ht="15.75">
      <c r="B207" s="115" t="s">
        <v>72</v>
      </c>
      <c r="C207" s="229" t="s">
        <v>306</v>
      </c>
      <c r="D207" s="229" t="s">
        <v>307</v>
      </c>
      <c r="E207" s="116">
        <f>C15</f>
        <v>3672</v>
      </c>
      <c r="F207" s="230" t="s">
        <v>22</v>
      </c>
      <c r="G207" s="116">
        <f>E15</f>
        <v>3719</v>
      </c>
      <c r="H207" s="229">
        <f>Table792226811241526[[#Totals],[Persons]]-Table792226811241526[[#Totals],[2011 Census]]</f>
        <v>-47</v>
      </c>
      <c r="I207" s="647">
        <f>(E207-G207)/G207</f>
        <v>-1.2637805861790804E-2</v>
      </c>
    </row>
    <row r="208" spans="2:9" ht="15">
      <c r="B208" s="232"/>
      <c r="C208" s="232"/>
      <c r="D208" s="232"/>
      <c r="E208" s="232"/>
      <c r="F208" s="232"/>
      <c r="G208" s="232"/>
      <c r="H208" s="232"/>
      <c r="I208" s="232"/>
    </row>
    <row r="209" spans="2:10" ht="23.25">
      <c r="B209" s="127" t="s">
        <v>682</v>
      </c>
    </row>
    <row r="210" spans="2:10" ht="15.75">
      <c r="B210" s="150" t="s">
        <v>827</v>
      </c>
    </row>
    <row r="211" spans="2:10" ht="25.5">
      <c r="B211" s="173" t="s">
        <v>64</v>
      </c>
      <c r="C211" s="222" t="s">
        <v>66</v>
      </c>
      <c r="D211" s="222" t="s">
        <v>67</v>
      </c>
      <c r="E211" s="222" t="s">
        <v>58</v>
      </c>
      <c r="F211" s="233" t="s">
        <v>68</v>
      </c>
      <c r="G211" s="233" t="s">
        <v>24</v>
      </c>
      <c r="H211" s="233" t="s">
        <v>25</v>
      </c>
      <c r="I211" s="233" t="s">
        <v>69</v>
      </c>
      <c r="J211" s="233" t="s">
        <v>27</v>
      </c>
    </row>
    <row r="212" spans="2:10">
      <c r="B212" s="155" t="s">
        <v>154</v>
      </c>
      <c r="C212" s="103">
        <v>907</v>
      </c>
      <c r="D212" s="103">
        <v>3</v>
      </c>
      <c r="E212" s="103">
        <v>0</v>
      </c>
      <c r="F212" s="234">
        <v>321</v>
      </c>
      <c r="G212" s="235">
        <v>148</v>
      </c>
      <c r="H212" s="235">
        <v>273</v>
      </c>
      <c r="I212" s="236">
        <v>133</v>
      </c>
      <c r="J212" s="235">
        <v>36</v>
      </c>
    </row>
    <row r="213" spans="2:10">
      <c r="B213" s="158" t="s">
        <v>152</v>
      </c>
      <c r="C213" s="106">
        <v>904</v>
      </c>
      <c r="D213" s="106">
        <v>5</v>
      </c>
      <c r="E213" s="106">
        <v>8</v>
      </c>
      <c r="F213" s="237">
        <v>274</v>
      </c>
      <c r="G213" s="238">
        <v>161</v>
      </c>
      <c r="H213" s="238">
        <v>265</v>
      </c>
      <c r="I213" s="239">
        <v>158</v>
      </c>
      <c r="J213" s="238">
        <v>50</v>
      </c>
    </row>
    <row r="214" spans="2:10">
      <c r="B214" s="155" t="s">
        <v>149</v>
      </c>
      <c r="C214" s="103">
        <v>461</v>
      </c>
      <c r="D214" s="103">
        <v>40</v>
      </c>
      <c r="E214" s="103">
        <v>6</v>
      </c>
      <c r="F214" s="240">
        <v>142</v>
      </c>
      <c r="G214" s="241">
        <v>80</v>
      </c>
      <c r="H214" s="241">
        <v>155</v>
      </c>
      <c r="I214" s="242">
        <v>118</v>
      </c>
      <c r="J214" s="241">
        <v>20</v>
      </c>
    </row>
    <row r="215" spans="2:10">
      <c r="B215" s="158" t="s">
        <v>150</v>
      </c>
      <c r="C215" s="106">
        <v>272</v>
      </c>
      <c r="D215" s="106">
        <v>18</v>
      </c>
      <c r="E215" s="106">
        <v>4</v>
      </c>
      <c r="F215" s="237">
        <v>89</v>
      </c>
      <c r="G215" s="238">
        <v>31</v>
      </c>
      <c r="H215" s="238">
        <v>109</v>
      </c>
      <c r="I215" s="239">
        <v>59</v>
      </c>
      <c r="J215" s="238">
        <v>10</v>
      </c>
    </row>
    <row r="216" spans="2:10">
      <c r="B216" s="155" t="s">
        <v>155</v>
      </c>
      <c r="C216" s="103">
        <v>256</v>
      </c>
      <c r="D216" s="103">
        <v>0</v>
      </c>
      <c r="E216" s="103">
        <v>0</v>
      </c>
      <c r="F216" s="240">
        <v>84</v>
      </c>
      <c r="G216" s="241">
        <v>33</v>
      </c>
      <c r="H216" s="241">
        <v>92</v>
      </c>
      <c r="I216" s="242">
        <v>34</v>
      </c>
      <c r="J216" s="241">
        <v>9</v>
      </c>
    </row>
    <row r="217" spans="2:10">
      <c r="B217" s="158" t="s">
        <v>164</v>
      </c>
      <c r="C217" s="106">
        <v>217</v>
      </c>
      <c r="D217" s="106">
        <v>0</v>
      </c>
      <c r="E217" s="106">
        <v>0</v>
      </c>
      <c r="F217" s="237">
        <v>67</v>
      </c>
      <c r="G217" s="238">
        <v>41</v>
      </c>
      <c r="H217" s="238">
        <v>65</v>
      </c>
      <c r="I217" s="239">
        <v>41</v>
      </c>
      <c r="J217" s="238">
        <v>13</v>
      </c>
    </row>
    <row r="218" spans="2:10">
      <c r="B218" s="155" t="s">
        <v>151</v>
      </c>
      <c r="C218" s="103">
        <v>57</v>
      </c>
      <c r="D218" s="103">
        <v>9</v>
      </c>
      <c r="E218" s="103">
        <v>4</v>
      </c>
      <c r="F218" s="240">
        <v>8</v>
      </c>
      <c r="G218" s="241">
        <v>5</v>
      </c>
      <c r="H218" s="241">
        <v>19</v>
      </c>
      <c r="I218" s="242">
        <v>27</v>
      </c>
      <c r="J218" s="241">
        <v>10</v>
      </c>
    </row>
    <row r="219" spans="2:10">
      <c r="B219" s="158" t="s">
        <v>153</v>
      </c>
      <c r="C219" s="106">
        <v>31</v>
      </c>
      <c r="D219" s="106">
        <v>0</v>
      </c>
      <c r="E219" s="106">
        <v>0</v>
      </c>
      <c r="F219" s="237">
        <v>4</v>
      </c>
      <c r="G219" s="238">
        <v>0</v>
      </c>
      <c r="H219" s="238">
        <v>7</v>
      </c>
      <c r="I219" s="239">
        <v>15</v>
      </c>
      <c r="J219" s="238">
        <v>0</v>
      </c>
    </row>
    <row r="220" spans="2:10">
      <c r="B220" s="155" t="s">
        <v>159</v>
      </c>
      <c r="C220" s="103">
        <v>23</v>
      </c>
      <c r="D220" s="103">
        <v>0</v>
      </c>
      <c r="E220" s="103">
        <v>0</v>
      </c>
      <c r="F220" s="240">
        <v>6</v>
      </c>
      <c r="G220" s="241">
        <v>3</v>
      </c>
      <c r="H220" s="241">
        <v>3</v>
      </c>
      <c r="I220" s="242">
        <v>4</v>
      </c>
      <c r="J220" s="241">
        <v>0</v>
      </c>
    </row>
    <row r="221" spans="2:10">
      <c r="B221" s="158" t="s">
        <v>157</v>
      </c>
      <c r="C221" s="106">
        <v>12</v>
      </c>
      <c r="D221" s="106">
        <v>10</v>
      </c>
      <c r="E221" s="106">
        <v>0</v>
      </c>
      <c r="F221" s="237">
        <v>0</v>
      </c>
      <c r="G221" s="238">
        <v>0</v>
      </c>
      <c r="H221" s="238">
        <v>0</v>
      </c>
      <c r="I221" s="239">
        <v>15</v>
      </c>
      <c r="J221" s="238">
        <v>3</v>
      </c>
    </row>
    <row r="222" spans="2:10">
      <c r="B222" s="155" t="s">
        <v>156</v>
      </c>
      <c r="C222" s="103">
        <v>3</v>
      </c>
      <c r="D222" s="103">
        <v>5</v>
      </c>
      <c r="E222" s="103">
        <v>0</v>
      </c>
      <c r="F222" s="240">
        <v>0</v>
      </c>
      <c r="G222" s="241">
        <v>0</v>
      </c>
      <c r="H222" s="241">
        <v>5</v>
      </c>
      <c r="I222" s="242">
        <v>5</v>
      </c>
      <c r="J222" s="241">
        <v>0</v>
      </c>
    </row>
    <row r="223" spans="2:10">
      <c r="B223" s="158" t="s">
        <v>165</v>
      </c>
      <c r="C223" s="106">
        <v>6</v>
      </c>
      <c r="D223" s="106">
        <v>0</v>
      </c>
      <c r="E223" s="106">
        <v>0</v>
      </c>
      <c r="F223" s="237">
        <v>0</v>
      </c>
      <c r="G223" s="238">
        <v>0</v>
      </c>
      <c r="H223" s="238">
        <v>6</v>
      </c>
      <c r="I223" s="239">
        <v>0</v>
      </c>
      <c r="J223" s="238">
        <v>0</v>
      </c>
    </row>
    <row r="224" spans="2:10">
      <c r="B224" s="155" t="s">
        <v>162</v>
      </c>
      <c r="C224" s="103">
        <v>3</v>
      </c>
      <c r="D224" s="103">
        <v>5</v>
      </c>
      <c r="E224" s="103">
        <v>0</v>
      </c>
      <c r="F224" s="240">
        <v>0</v>
      </c>
      <c r="G224" s="241">
        <v>0</v>
      </c>
      <c r="H224" s="241">
        <v>4</v>
      </c>
      <c r="I224" s="242">
        <v>0</v>
      </c>
      <c r="J224" s="241">
        <v>0</v>
      </c>
    </row>
    <row r="225" spans="2:11">
      <c r="B225" s="158" t="s">
        <v>161</v>
      </c>
      <c r="C225" s="106">
        <v>0</v>
      </c>
      <c r="D225" s="106">
        <v>4</v>
      </c>
      <c r="E225" s="106">
        <v>0</v>
      </c>
      <c r="F225" s="237">
        <v>0</v>
      </c>
      <c r="G225" s="238">
        <v>0</v>
      </c>
      <c r="H225" s="238">
        <v>5</v>
      </c>
      <c r="I225" s="239">
        <v>0</v>
      </c>
      <c r="J225" s="238">
        <v>0</v>
      </c>
    </row>
    <row r="226" spans="2:11">
      <c r="B226" s="155" t="s">
        <v>167</v>
      </c>
      <c r="C226" s="103">
        <v>3</v>
      </c>
      <c r="D226" s="103">
        <v>0</v>
      </c>
      <c r="E226" s="103">
        <v>0</v>
      </c>
      <c r="F226" s="240">
        <v>0</v>
      </c>
      <c r="G226" s="241">
        <v>0</v>
      </c>
      <c r="H226" s="241">
        <v>3</v>
      </c>
      <c r="I226" s="242">
        <v>0</v>
      </c>
      <c r="J226" s="241">
        <v>0</v>
      </c>
    </row>
    <row r="227" spans="2:11">
      <c r="B227" s="158" t="s">
        <v>168</v>
      </c>
      <c r="C227" s="106">
        <v>0</v>
      </c>
      <c r="D227" s="106">
        <v>0</v>
      </c>
      <c r="E227" s="106">
        <v>0</v>
      </c>
      <c r="F227" s="237">
        <v>0</v>
      </c>
      <c r="G227" s="238">
        <v>0</v>
      </c>
      <c r="H227" s="238">
        <v>0</v>
      </c>
      <c r="I227" s="239">
        <v>0</v>
      </c>
      <c r="J227" s="238">
        <v>0</v>
      </c>
    </row>
    <row r="228" spans="2:11">
      <c r="B228" s="155" t="s">
        <v>166</v>
      </c>
      <c r="C228" s="103">
        <v>0</v>
      </c>
      <c r="D228" s="103">
        <v>0</v>
      </c>
      <c r="E228" s="103">
        <v>0</v>
      </c>
      <c r="F228" s="240">
        <v>0</v>
      </c>
      <c r="G228" s="241">
        <v>0</v>
      </c>
      <c r="H228" s="241">
        <v>0</v>
      </c>
      <c r="I228" s="242">
        <v>0</v>
      </c>
      <c r="J228" s="241">
        <v>0</v>
      </c>
    </row>
    <row r="229" spans="2:11">
      <c r="B229" s="158" t="s">
        <v>163</v>
      </c>
      <c r="C229" s="106">
        <v>0</v>
      </c>
      <c r="D229" s="106">
        <v>0</v>
      </c>
      <c r="E229" s="106">
        <v>0</v>
      </c>
      <c r="F229" s="237">
        <v>0</v>
      </c>
      <c r="G229" s="238">
        <v>0</v>
      </c>
      <c r="H229" s="238">
        <v>0</v>
      </c>
      <c r="I229" s="239">
        <v>0</v>
      </c>
      <c r="J229" s="238">
        <v>0</v>
      </c>
    </row>
    <row r="230" spans="2:11">
      <c r="B230" s="155" t="s">
        <v>158</v>
      </c>
      <c r="C230" s="103">
        <v>0</v>
      </c>
      <c r="D230" s="103">
        <v>0</v>
      </c>
      <c r="E230" s="103">
        <v>0</v>
      </c>
      <c r="F230" s="240">
        <v>0</v>
      </c>
      <c r="G230" s="241">
        <v>0</v>
      </c>
      <c r="H230" s="241">
        <v>0</v>
      </c>
      <c r="I230" s="242">
        <v>0</v>
      </c>
      <c r="J230" s="241">
        <v>0</v>
      </c>
    </row>
    <row r="231" spans="2:11">
      <c r="B231" s="158" t="s">
        <v>160</v>
      </c>
      <c r="C231" s="106">
        <v>0</v>
      </c>
      <c r="D231" s="106">
        <v>0</v>
      </c>
      <c r="E231" s="106">
        <v>0</v>
      </c>
      <c r="F231" s="237">
        <v>0</v>
      </c>
      <c r="G231" s="238">
        <v>0</v>
      </c>
      <c r="H231" s="238">
        <v>0</v>
      </c>
      <c r="I231" s="239">
        <v>0</v>
      </c>
      <c r="J231" s="238">
        <v>0</v>
      </c>
    </row>
    <row r="232" spans="2:11">
      <c r="B232" s="158" t="s">
        <v>71</v>
      </c>
      <c r="C232" s="106">
        <v>47</v>
      </c>
      <c r="D232" s="106">
        <v>6</v>
      </c>
      <c r="E232" s="106">
        <v>5</v>
      </c>
      <c r="F232" s="237">
        <v>16</v>
      </c>
      <c r="G232" s="238">
        <v>11</v>
      </c>
      <c r="H232" s="238">
        <v>15</v>
      </c>
      <c r="I232" s="239">
        <v>19</v>
      </c>
      <c r="J232" s="238">
        <v>0</v>
      </c>
    </row>
    <row r="233" spans="2:11">
      <c r="B233" s="158" t="s">
        <v>58</v>
      </c>
      <c r="C233" s="106">
        <v>197</v>
      </c>
      <c r="D233" s="106">
        <v>6</v>
      </c>
      <c r="E233" s="106">
        <v>137</v>
      </c>
      <c r="F233" s="237">
        <v>75</v>
      </c>
      <c r="G233" s="238">
        <v>52</v>
      </c>
      <c r="H233" s="238">
        <v>121</v>
      </c>
      <c r="I233" s="239">
        <v>74</v>
      </c>
      <c r="J233" s="238">
        <v>16</v>
      </c>
    </row>
    <row r="234" spans="2:11" ht="15">
      <c r="B234" s="648" t="s">
        <v>72</v>
      </c>
      <c r="C234" s="249">
        <f>C16</f>
        <v>3392</v>
      </c>
      <c r="D234" s="249">
        <f>C17</f>
        <v>101</v>
      </c>
      <c r="E234" s="249">
        <f>C18</f>
        <v>175</v>
      </c>
      <c r="F234" s="250" t="s">
        <v>291</v>
      </c>
      <c r="G234" s="251" t="s">
        <v>292</v>
      </c>
      <c r="H234" s="251" t="s">
        <v>293</v>
      </c>
      <c r="I234" s="251" t="s">
        <v>294</v>
      </c>
      <c r="J234" s="251" t="s">
        <v>295</v>
      </c>
    </row>
    <row r="235" spans="2:11">
      <c r="J235" s="180"/>
    </row>
    <row r="236" spans="2:11">
      <c r="J236" s="183"/>
    </row>
    <row r="237" spans="2:11" ht="15.75">
      <c r="K237" s="285" t="s">
        <v>642</v>
      </c>
    </row>
    <row r="238" spans="2:11" ht="15.75">
      <c r="B238" s="499" t="s">
        <v>857</v>
      </c>
      <c r="C238" s="500"/>
      <c r="D238" s="500"/>
      <c r="E238" s="500"/>
      <c r="F238" s="500"/>
      <c r="G238" s="500"/>
      <c r="H238" s="500"/>
      <c r="I238" s="500"/>
      <c r="J238" s="501"/>
    </row>
    <row r="239" spans="2:11" ht="15.75">
      <c r="B239" s="502" t="s">
        <v>424</v>
      </c>
      <c r="C239" s="503"/>
      <c r="D239" s="503"/>
      <c r="E239" s="503"/>
      <c r="F239" s="503"/>
      <c r="G239" s="503"/>
      <c r="H239" s="503"/>
      <c r="I239" s="503"/>
      <c r="J239" s="504"/>
    </row>
    <row r="240" spans="2:11" ht="15.75">
      <c r="B240" s="505" t="s">
        <v>824</v>
      </c>
      <c r="C240" s="506"/>
      <c r="D240" s="506"/>
      <c r="E240" s="506"/>
      <c r="F240" s="506"/>
      <c r="G240" s="506"/>
      <c r="H240" s="506"/>
      <c r="I240" s="506"/>
      <c r="J240" s="507"/>
    </row>
  </sheetData>
  <sheetProtection algorithmName="SHA-512" hashValue="m32f32wyYcv5Xik+oYBslVtgxuLpk2xtwcOhUMS0qyrVyD3Q4tjHsrCJBRYrJpDs6brro7RCtobYEJ5RYdH2jg==" saltValue="BH/B7kKRTdflMoHW3hPtSw==" spinCount="100000" sheet="1" objects="1" scenarios="1"/>
  <mergeCells count="2">
    <mergeCell ref="C168:F168"/>
    <mergeCell ref="J1:K1"/>
  </mergeCells>
  <hyperlinks>
    <hyperlink ref="J1:K1" location="'Index '!A1" display="Back to Index"/>
    <hyperlink ref="K237" location="'3.5 Central Desert'!K1" display="Back to top"/>
  </hyperlinks>
  <pageMargins left="0.35433070866141736" right="3.937007874015748E-2" top="0.51181102362204722" bottom="0.35433070866141736" header="0.11811023622047245" footer="0.11811023622047245"/>
  <pageSetup paperSize="9" scale="56" fitToHeight="10" orientation="portrait" horizontalDpi="300" verticalDpi="300" r:id="rId1"/>
  <headerFooter differentFirst="1" alignWithMargins="0">
    <oddHeader>&amp;L&amp;"Helvetica Bold,Bold"&amp;18&amp;K000000X LGA (Continued)</oddHeader>
  </headerFooter>
  <ignoredErrors>
    <ignoredError sqref="C76:H76 C111:H111" formula="1"/>
  </ignoredErrors>
  <drawing r:id="rId2"/>
  <tableParts count="6">
    <tablePart r:id="rId3"/>
    <tablePart r:id="rId4"/>
    <tablePart r:id="rId5"/>
    <tablePart r:id="rId6"/>
    <tablePart r:id="rId7"/>
    <tablePart r:id="rId8"/>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0"/>
  <sheetViews>
    <sheetView showGridLines="0" zoomScaleNormal="100" zoomScaleSheetLayoutView="100" zoomScalePageLayoutView="75" workbookViewId="0">
      <selection activeCell="J1" sqref="J1:K1"/>
    </sheetView>
  </sheetViews>
  <sheetFormatPr defaultColWidth="15.625" defaultRowHeight="12.75"/>
  <cols>
    <col min="1" max="1" width="5.875" style="149" customWidth="1"/>
    <col min="2" max="2" width="41.625" style="149" customWidth="1"/>
    <col min="3" max="10" width="10.875" style="149" customWidth="1"/>
    <col min="11" max="11" width="11.625" style="149" customWidth="1"/>
    <col min="12" max="14" width="15.625" style="149" customWidth="1"/>
    <col min="15" max="18" width="15.625" style="149"/>
    <col min="19" max="28" width="15.625" style="149" customWidth="1"/>
    <col min="29" max="16384" width="15.625" style="149"/>
  </cols>
  <sheetData>
    <row r="1" spans="1:11" ht="15.75">
      <c r="B1" s="122"/>
      <c r="C1" s="122"/>
      <c r="D1" s="122"/>
      <c r="E1" s="122"/>
      <c r="J1" s="1229" t="s">
        <v>359</v>
      </c>
      <c r="K1" s="1229"/>
    </row>
    <row r="2" spans="1:11" ht="30">
      <c r="A2" s="649"/>
      <c r="B2" s="333" t="s">
        <v>884</v>
      </c>
      <c r="C2" s="120"/>
      <c r="D2" s="120"/>
      <c r="E2" s="120"/>
      <c r="F2" s="120"/>
      <c r="G2" s="650"/>
      <c r="H2" s="650"/>
      <c r="I2" s="650"/>
      <c r="J2" s="650"/>
      <c r="K2" s="650"/>
    </row>
    <row r="3" spans="1:11">
      <c r="B3" s="122"/>
      <c r="C3" s="122"/>
      <c r="D3" s="122"/>
      <c r="E3" s="122"/>
      <c r="F3" s="122"/>
    </row>
    <row r="4" spans="1:11">
      <c r="B4" s="122"/>
      <c r="C4" s="122"/>
      <c r="D4" s="122"/>
      <c r="E4" s="122"/>
      <c r="F4" s="122"/>
    </row>
    <row r="5" spans="1:11">
      <c r="B5" s="123"/>
      <c r="C5" s="123"/>
      <c r="D5" s="123"/>
      <c r="E5" s="122"/>
      <c r="F5" s="122"/>
    </row>
    <row r="6" spans="1:11" ht="15.75">
      <c r="B6" s="124" t="s">
        <v>0</v>
      </c>
      <c r="C6" s="53" t="s">
        <v>1</v>
      </c>
      <c r="D6" s="123"/>
      <c r="E6" s="122"/>
      <c r="F6" s="122"/>
    </row>
    <row r="7" spans="1:11" ht="15.75">
      <c r="B7" s="126" t="s">
        <v>2</v>
      </c>
      <c r="C7" s="53">
        <f>D16</f>
        <v>0.66236722306525042</v>
      </c>
      <c r="D7" s="123"/>
      <c r="E7" s="122"/>
      <c r="F7" s="122"/>
    </row>
    <row r="8" spans="1:11" ht="15.75">
      <c r="B8" s="126" t="s">
        <v>3</v>
      </c>
      <c r="C8" s="53">
        <f>D18</f>
        <v>0.21775417298937785</v>
      </c>
      <c r="D8" s="123"/>
      <c r="E8" s="122"/>
      <c r="F8" s="122"/>
    </row>
    <row r="9" spans="1:11" ht="15.75">
      <c r="B9" s="126" t="s">
        <v>4</v>
      </c>
      <c r="C9" s="53">
        <f>D19</f>
        <v>6.2974203338391502E-2</v>
      </c>
      <c r="D9" s="123"/>
      <c r="E9" s="122"/>
      <c r="F9" s="122"/>
    </row>
    <row r="10" spans="1:11" ht="15.75">
      <c r="B10" s="126"/>
      <c r="C10" s="53"/>
      <c r="D10" s="123"/>
      <c r="E10" s="122"/>
      <c r="F10" s="122"/>
    </row>
    <row r="11" spans="1:11" ht="15.75">
      <c r="B11" s="126" t="s">
        <v>5</v>
      </c>
      <c r="C11" s="53">
        <f>D20</f>
        <v>5.9180576631259481E-2</v>
      </c>
      <c r="D11" s="123"/>
      <c r="E11" s="122"/>
      <c r="F11" s="122"/>
    </row>
    <row r="12" spans="1:11" ht="23.25">
      <c r="B12" s="127" t="s">
        <v>683</v>
      </c>
    </row>
    <row r="14" spans="1:11" s="128" customFormat="1" ht="25.5">
      <c r="B14" s="252" t="s">
        <v>0</v>
      </c>
      <c r="C14" s="233" t="s">
        <v>6</v>
      </c>
      <c r="D14" s="233" t="s">
        <v>1</v>
      </c>
      <c r="E14" s="233" t="s">
        <v>7</v>
      </c>
      <c r="F14" s="233" t="s">
        <v>65</v>
      </c>
      <c r="G14" s="233" t="s">
        <v>8</v>
      </c>
    </row>
    <row r="15" spans="1:11" s="329" customFormat="1">
      <c r="B15" s="262" t="s">
        <v>9</v>
      </c>
      <c r="C15" s="651">
        <v>1318</v>
      </c>
      <c r="D15" s="652">
        <f t="shared" ref="D15:D25" si="0">SUM(C15/$C$15)</f>
        <v>1</v>
      </c>
      <c r="E15" s="651">
        <v>1104</v>
      </c>
      <c r="F15" s="55">
        <f>(Table47911131572125781[[#This Row],[Persons]]-Table47911131572125781[[#This Row],[2011 Census]])</f>
        <v>214</v>
      </c>
      <c r="G15" s="652">
        <f>(Table47911131572125781[[#This Row],[Change 2011-2016]]/Table47911131572125781[[#This Row],[2011 Census]])</f>
        <v>0.19384057971014493</v>
      </c>
    </row>
    <row r="16" spans="1:11" s="329" customFormat="1">
      <c r="B16" s="262" t="s">
        <v>2</v>
      </c>
      <c r="C16" s="651">
        <v>873</v>
      </c>
      <c r="D16" s="652">
        <f t="shared" si="0"/>
        <v>0.66236722306525042</v>
      </c>
      <c r="E16" s="651">
        <v>768</v>
      </c>
      <c r="F16" s="55">
        <f>(Table47911131572125781[[#This Row],[Persons]]-Table47911131572125781[[#This Row],[2011 Census]])</f>
        <v>105</v>
      </c>
      <c r="G16" s="652">
        <f>(Table47911131572125781[[#This Row],[Change 2011-2016]]/Table47911131572125781[[#This Row],[2011 Census]])</f>
        <v>0.13671875</v>
      </c>
    </row>
    <row r="17" spans="2:10" s="329" customFormat="1">
      <c r="B17" s="262" t="s">
        <v>362</v>
      </c>
      <c r="C17" s="651">
        <v>159</v>
      </c>
      <c r="D17" s="652">
        <f t="shared" si="0"/>
        <v>0.12063732928679818</v>
      </c>
      <c r="E17" s="653">
        <v>143</v>
      </c>
      <c r="F17" s="55">
        <f>(Table47911131572125781[[#This Row],[Persons]]-Table47911131572125781[[#This Row],[2011 Census]])</f>
        <v>16</v>
      </c>
      <c r="G17" s="652">
        <f>(Table47911131572125781[[#This Row],[Change 2011-2016]]/Table47911131572125781[[#This Row],[2011 Census]])</f>
        <v>0.11188811188811189</v>
      </c>
    </row>
    <row r="18" spans="2:10" s="329" customFormat="1">
      <c r="B18" s="262" t="s">
        <v>3</v>
      </c>
      <c r="C18" s="651">
        <v>287</v>
      </c>
      <c r="D18" s="652">
        <f t="shared" si="0"/>
        <v>0.21775417298937785</v>
      </c>
      <c r="E18" s="653">
        <v>193</v>
      </c>
      <c r="F18" s="55">
        <f>(Table47911131572125781[[#This Row],[Persons]]-Table47911131572125781[[#This Row],[2011 Census]])</f>
        <v>94</v>
      </c>
      <c r="G18" s="652">
        <f>(Table47911131572125781[[#This Row],[Change 2011-2016]]/Table47911131572125781[[#This Row],[2011 Census]])</f>
        <v>0.48704663212435234</v>
      </c>
    </row>
    <row r="19" spans="2:10" s="329" customFormat="1">
      <c r="B19" s="262" t="s">
        <v>4</v>
      </c>
      <c r="C19" s="651">
        <v>83</v>
      </c>
      <c r="D19" s="652">
        <f t="shared" si="0"/>
        <v>6.2974203338391502E-2</v>
      </c>
      <c r="E19" s="653">
        <v>81</v>
      </c>
      <c r="F19" s="55">
        <f>(Table47911131572125781[[#This Row],[Persons]]-Table47911131572125781[[#This Row],[2011 Census]])</f>
        <v>2</v>
      </c>
      <c r="G19" s="652">
        <f>(Table47911131572125781[[#This Row],[Change 2011-2016]]/Table47911131572125781[[#This Row],[2011 Census]])</f>
        <v>2.4691358024691357E-2</v>
      </c>
    </row>
    <row r="20" spans="2:10" s="329" customFormat="1">
      <c r="B20" s="262" t="s">
        <v>5</v>
      </c>
      <c r="C20" s="651">
        <v>78</v>
      </c>
      <c r="D20" s="652">
        <f t="shared" si="0"/>
        <v>5.9180576631259481E-2</v>
      </c>
      <c r="E20" s="653">
        <v>62</v>
      </c>
      <c r="F20" s="55">
        <f>(Table47911131572125781[[#This Row],[Persons]]-Table47911131572125781[[#This Row],[2011 Census]])</f>
        <v>16</v>
      </c>
      <c r="G20" s="652">
        <f>(Table47911131572125781[[#This Row],[Change 2011-2016]]/Table47911131572125781[[#This Row],[2011 Census]])</f>
        <v>0.25806451612903225</v>
      </c>
    </row>
    <row r="21" spans="2:10" s="329" customFormat="1">
      <c r="B21" s="262" t="s">
        <v>11</v>
      </c>
      <c r="C21" s="651">
        <v>89</v>
      </c>
      <c r="D21" s="652">
        <f t="shared" si="0"/>
        <v>6.7526555386949919E-2</v>
      </c>
      <c r="E21" s="653">
        <v>89</v>
      </c>
      <c r="F21" s="55">
        <f>(Table47911131572125781[[#This Row],[Persons]]-Table47911131572125781[[#This Row],[2011 Census]])</f>
        <v>0</v>
      </c>
      <c r="G21" s="652">
        <f>(Table47911131572125781[[#This Row],[Change 2011-2016]]/Table47911131572125781[[#This Row],[2011 Census]])</f>
        <v>0</v>
      </c>
    </row>
    <row r="22" spans="2:10" s="329" customFormat="1">
      <c r="B22" s="262" t="s">
        <v>12</v>
      </c>
      <c r="C22" s="651">
        <v>318</v>
      </c>
      <c r="D22" s="652">
        <f t="shared" si="0"/>
        <v>0.24127465857359637</v>
      </c>
      <c r="E22" s="653">
        <v>233</v>
      </c>
      <c r="F22" s="55">
        <f>(Table47911131572125781[[#This Row],[Persons]]-Table47911131572125781[[#This Row],[2011 Census]])</f>
        <v>85</v>
      </c>
      <c r="G22" s="652">
        <f>(Table47911131572125781[[#This Row],[Change 2011-2016]]/Table47911131572125781[[#This Row],[2011 Census]])</f>
        <v>0.36480686695278969</v>
      </c>
    </row>
    <row r="23" spans="2:10" s="329" customFormat="1">
      <c r="B23" s="262" t="s">
        <v>13</v>
      </c>
      <c r="C23" s="651">
        <v>95</v>
      </c>
      <c r="D23" s="652">
        <f t="shared" si="0"/>
        <v>7.2078907435508349E-2</v>
      </c>
      <c r="E23" s="653">
        <v>66</v>
      </c>
      <c r="F23" s="55">
        <f>(Table47911131572125781[[#This Row],[Persons]]-Table47911131572125781[[#This Row],[2011 Census]])</f>
        <v>29</v>
      </c>
      <c r="G23" s="652">
        <f>(Table47911131572125781[[#This Row],[Change 2011-2016]]/Table47911131572125781[[#This Row],[2011 Census]])</f>
        <v>0.43939393939393939</v>
      </c>
    </row>
    <row r="24" spans="2:10" s="329" customFormat="1">
      <c r="B24" s="262" t="s">
        <v>869</v>
      </c>
      <c r="C24" s="651">
        <v>35</v>
      </c>
      <c r="D24" s="652">
        <f t="shared" si="0"/>
        <v>2.6555386949924126E-2</v>
      </c>
      <c r="E24" s="653">
        <v>16</v>
      </c>
      <c r="F24" s="55">
        <f>(Table47911131572125781[[#This Row],[Persons]]-Table47911131572125781[[#This Row],[2011 Census]])</f>
        <v>19</v>
      </c>
      <c r="G24" s="652">
        <f>(Table47911131572125781[[#This Row],[Change 2011-2016]]/Table47911131572125781[[#This Row],[2011 Census]])</f>
        <v>1.1875</v>
      </c>
    </row>
    <row r="25" spans="2:10" s="329" customFormat="1" ht="17.100000000000001" customHeight="1">
      <c r="B25" s="262" t="s">
        <v>870</v>
      </c>
      <c r="C25" s="651">
        <v>26</v>
      </c>
      <c r="D25" s="652">
        <f t="shared" si="0"/>
        <v>1.9726858877086494E-2</v>
      </c>
      <c r="E25" s="653">
        <v>11</v>
      </c>
      <c r="F25" s="55">
        <f>(Table47911131572125781[[#This Row],[Persons]]-Table47911131572125781[[#This Row],[2011 Census]])</f>
        <v>15</v>
      </c>
      <c r="G25" s="652">
        <f>(Table47911131572125781[[#This Row],[Change 2011-2016]]/Table47911131572125781[[#This Row],[2011 Census]])</f>
        <v>1.3636363636363635</v>
      </c>
    </row>
    <row r="26" spans="2:10" s="329" customFormat="1">
      <c r="B26" s="349" t="s">
        <v>366</v>
      </c>
    </row>
    <row r="27" spans="2:10" s="329" customFormat="1">
      <c r="B27" s="349"/>
    </row>
    <row r="28" spans="2:10" s="329" customFormat="1" ht="23.25">
      <c r="B28" s="127" t="s">
        <v>684</v>
      </c>
      <c r="D28" s="513"/>
      <c r="E28" s="514"/>
      <c r="F28" s="514"/>
      <c r="G28" s="514"/>
    </row>
    <row r="29" spans="2:10" s="329" customFormat="1" ht="15.75">
      <c r="B29" s="133" t="s">
        <v>333</v>
      </c>
    </row>
    <row r="30" spans="2:10" s="128" customFormat="1" ht="25.5">
      <c r="B30" s="252" t="s">
        <v>14</v>
      </c>
      <c r="C30" s="252" t="s">
        <v>15</v>
      </c>
      <c r="D30" s="252" t="s">
        <v>16</v>
      </c>
      <c r="E30" s="252" t="s">
        <v>17</v>
      </c>
      <c r="F30" s="252" t="s">
        <v>18</v>
      </c>
      <c r="G30" s="252" t="s">
        <v>19</v>
      </c>
      <c r="H30" s="252" t="s">
        <v>20</v>
      </c>
      <c r="I30" s="1240"/>
      <c r="J30" s="1240"/>
    </row>
    <row r="31" spans="2:10" s="129" customFormat="1">
      <c r="B31" s="200" t="s">
        <v>92</v>
      </c>
      <c r="C31" s="254">
        <v>22</v>
      </c>
      <c r="D31" s="254">
        <v>14</v>
      </c>
      <c r="E31" s="254">
        <v>42</v>
      </c>
      <c r="F31" s="59">
        <f>IFERROR((Table552024680[[#This Row],[Persons 2016]]/$C$17),"..")</f>
        <v>0.26415094339622641</v>
      </c>
      <c r="G31" s="582"/>
      <c r="H31" s="59" t="str">
        <f>IFERROR((Table552024680[[#This Row],[Persons 2016]]-Table552024680[[#This Row],[Persons 2011]])/Table552024680[[#This Row],[Persons 2011]],"..")</f>
        <v>..</v>
      </c>
      <c r="I31" s="1236"/>
      <c r="J31" s="1236"/>
    </row>
    <row r="32" spans="2:10" s="129" customFormat="1">
      <c r="B32" s="654" t="s">
        <v>73</v>
      </c>
      <c r="C32" s="254">
        <v>18</v>
      </c>
      <c r="D32" s="254">
        <v>7</v>
      </c>
      <c r="E32" s="254">
        <v>27</v>
      </c>
      <c r="F32" s="59">
        <f>IFERROR((Table552024680[[#This Row],[Persons 2016]]/$C$17),"..")</f>
        <v>0.16981132075471697</v>
      </c>
      <c r="G32" s="582"/>
      <c r="H32" s="59" t="str">
        <f>IFERROR((Table552024680[[#This Row],[Persons 2016]]-Table552024680[[#This Row],[Persons 2011]])/Table552024680[[#This Row],[Persons 2011]],"..")</f>
        <v>..</v>
      </c>
      <c r="I32" s="1236"/>
      <c r="J32" s="1236"/>
    </row>
    <row r="33" spans="2:10" s="129" customFormat="1">
      <c r="B33" s="654" t="s">
        <v>76</v>
      </c>
      <c r="C33" s="254">
        <v>3</v>
      </c>
      <c r="D33" s="254">
        <v>17</v>
      </c>
      <c r="E33" s="254">
        <v>14</v>
      </c>
      <c r="F33" s="59">
        <f>IFERROR((Table552024680[[#This Row],[Persons 2016]]/$C$17),"..")</f>
        <v>8.8050314465408799E-2</v>
      </c>
      <c r="G33" s="582"/>
      <c r="H33" s="59" t="str">
        <f>IFERROR((Table552024680[[#This Row],[Persons 2016]]-Table552024680[[#This Row],[Persons 2011]])/Table552024680[[#This Row],[Persons 2011]],"..")</f>
        <v>..</v>
      </c>
      <c r="I33" s="1236"/>
      <c r="J33" s="1236"/>
    </row>
    <row r="34" spans="2:10" s="129" customFormat="1">
      <c r="B34" s="200" t="s">
        <v>84</v>
      </c>
      <c r="C34" s="254">
        <v>3</v>
      </c>
      <c r="D34" s="254">
        <v>5</v>
      </c>
      <c r="E34" s="254">
        <v>9</v>
      </c>
      <c r="F34" s="59">
        <f>IFERROR((Table552024680[[#This Row],[Persons 2016]]/$C$17),"..")</f>
        <v>5.6603773584905662E-2</v>
      </c>
      <c r="G34" s="582" t="s">
        <v>94</v>
      </c>
      <c r="H34" s="59" t="str">
        <f>IFERROR((Table552024680[[#This Row],[Persons 2016]]-Table552024680[[#This Row],[Persons 2011]])/Table552024680[[#This Row],[Persons 2011]],"..")</f>
        <v>..</v>
      </c>
      <c r="I34" s="1236"/>
      <c r="J34" s="1236"/>
    </row>
    <row r="35" spans="2:10" s="129" customFormat="1">
      <c r="B35" s="200" t="s">
        <v>130</v>
      </c>
      <c r="C35" s="254">
        <v>3</v>
      </c>
      <c r="D35" s="254">
        <v>0</v>
      </c>
      <c r="E35" s="254">
        <v>8</v>
      </c>
      <c r="F35" s="59">
        <f>IFERROR((Table552024680[[#This Row],[Persons 2016]]/$C$17),"..")</f>
        <v>5.0314465408805034E-2</v>
      </c>
      <c r="G35" s="582" t="s">
        <v>94</v>
      </c>
      <c r="H35" s="59" t="str">
        <f>IFERROR((Table552024680[[#This Row],[Persons 2016]]-Table552024680[[#This Row],[Persons 2011]])/Table552024680[[#This Row],[Persons 2011]],"..")</f>
        <v>..</v>
      </c>
      <c r="I35" s="1236"/>
      <c r="J35" s="1236"/>
    </row>
    <row r="36" spans="2:10" s="129" customFormat="1">
      <c r="B36" s="654" t="s">
        <v>79</v>
      </c>
      <c r="C36" s="254">
        <v>0</v>
      </c>
      <c r="D36" s="254">
        <v>3</v>
      </c>
      <c r="E36" s="254">
        <v>7</v>
      </c>
      <c r="F36" s="59">
        <f>IFERROR((Table552024680[[#This Row],[Persons 2016]]/$C$17),"..")</f>
        <v>4.40251572327044E-2</v>
      </c>
      <c r="G36" s="582" t="s">
        <v>94</v>
      </c>
      <c r="H36" s="59" t="str">
        <f>IFERROR((Table552024680[[#This Row],[Persons 2016]]-Table552024680[[#This Row],[Persons 2011]])/Table552024680[[#This Row],[Persons 2011]],"..")</f>
        <v>..</v>
      </c>
      <c r="I36" s="1236"/>
      <c r="J36" s="1236"/>
    </row>
    <row r="37" spans="2:10" s="129" customFormat="1">
      <c r="B37" s="200" t="s">
        <v>78</v>
      </c>
      <c r="C37" s="254">
        <v>0</v>
      </c>
      <c r="D37" s="254">
        <v>3</v>
      </c>
      <c r="E37" s="254">
        <v>7</v>
      </c>
      <c r="F37" s="59">
        <f>IFERROR((Table552024680[[#This Row],[Persons 2016]]/$C$17),"..")</f>
        <v>4.40251572327044E-2</v>
      </c>
      <c r="G37" s="582" t="s">
        <v>94</v>
      </c>
      <c r="H37" s="59" t="str">
        <f>IFERROR((Table552024680[[#This Row],[Persons 2016]]-Table552024680[[#This Row],[Persons 2011]])/Table552024680[[#This Row],[Persons 2011]],"..")</f>
        <v>..</v>
      </c>
      <c r="I37" s="1236"/>
      <c r="J37" s="1236"/>
    </row>
    <row r="38" spans="2:10" s="129" customFormat="1">
      <c r="B38" s="654" t="s">
        <v>131</v>
      </c>
      <c r="C38" s="254">
        <v>7</v>
      </c>
      <c r="D38" s="254">
        <v>3</v>
      </c>
      <c r="E38" s="254">
        <v>6</v>
      </c>
      <c r="F38" s="59">
        <f>IFERROR((Table552024680[[#This Row],[Persons 2016]]/$C$17),"..")</f>
        <v>3.7735849056603772E-2</v>
      </c>
      <c r="G38" s="582" t="s">
        <v>94</v>
      </c>
      <c r="H38" s="59" t="str">
        <f>IFERROR((Table552024680[[#This Row],[Persons 2016]]-Table552024680[[#This Row],[Persons 2011]])/Table552024680[[#This Row],[Persons 2011]],"..")</f>
        <v>..</v>
      </c>
      <c r="I38" s="1236"/>
      <c r="J38" s="1236"/>
    </row>
    <row r="39" spans="2:10" s="118" customFormat="1">
      <c r="B39" s="200" t="s">
        <v>83</v>
      </c>
      <c r="C39" s="254">
        <v>0</v>
      </c>
      <c r="D39" s="254">
        <v>4</v>
      </c>
      <c r="E39" s="254">
        <v>4</v>
      </c>
      <c r="F39" s="59">
        <f>IFERROR((Table552024680[[#This Row],[Persons 2016]]/$C$17),"..")</f>
        <v>2.5157232704402517E-2</v>
      </c>
      <c r="G39" s="582" t="s">
        <v>94</v>
      </c>
      <c r="H39" s="59" t="str">
        <f>IFERROR((Table552024680[[#This Row],[Persons 2016]]-Table552024680[[#This Row],[Persons 2011]])/Table552024680[[#This Row],[Persons 2011]],"..")</f>
        <v>..</v>
      </c>
      <c r="I39" s="1237"/>
      <c r="J39" s="1237"/>
    </row>
    <row r="40" spans="2:10" s="118" customFormat="1">
      <c r="B40" s="200" t="s">
        <v>132</v>
      </c>
      <c r="C40" s="254">
        <v>0</v>
      </c>
      <c r="D40" s="254">
        <v>0</v>
      </c>
      <c r="E40" s="254">
        <v>4</v>
      </c>
      <c r="F40" s="59">
        <f>IFERROR((Table552024680[[#This Row],[Persons 2016]]/$C$17),"..")</f>
        <v>2.5157232704402517E-2</v>
      </c>
      <c r="G40" s="582" t="s">
        <v>94</v>
      </c>
      <c r="H40" s="59" t="str">
        <f>IFERROR((Table552024680[[#This Row],[Persons 2016]]-Table552024680[[#This Row],[Persons 2011]])/Table552024680[[#This Row],[Persons 2011]],"..")</f>
        <v>..</v>
      </c>
      <c r="I40" s="1237"/>
      <c r="J40" s="1237"/>
    </row>
    <row r="41" spans="2:10">
      <c r="B41" s="655" t="s">
        <v>369</v>
      </c>
      <c r="C41" s="287">
        <f>C42-SUM(C31:C40)</f>
        <v>23</v>
      </c>
      <c r="D41" s="287">
        <f t="shared" ref="D41:E41" si="1">D42-SUM(D31:D40)</f>
        <v>27</v>
      </c>
      <c r="E41" s="287">
        <f t="shared" si="1"/>
        <v>31</v>
      </c>
      <c r="F41" s="656">
        <f>IFERROR((Table552024680[[#This Row],[Persons 2016]]/$C$17),"..")</f>
        <v>0.19496855345911951</v>
      </c>
      <c r="G41" s="657">
        <v>24</v>
      </c>
      <c r="H41" s="656">
        <f>IFERROR((Table552024680[[#This Row],[Persons 2016]]-Table552024680[[#This Row],[Persons 2011]])/Table552024680[[#This Row],[Persons 2011]],"..")</f>
        <v>0.29166666666666669</v>
      </c>
      <c r="I41" s="1241"/>
      <c r="J41" s="1241"/>
    </row>
    <row r="42" spans="2:10">
      <c r="B42" s="658" t="s">
        <v>21</v>
      </c>
      <c r="C42" s="659">
        <v>79</v>
      </c>
      <c r="D42" s="659">
        <v>83</v>
      </c>
      <c r="E42" s="660">
        <f>C17</f>
        <v>159</v>
      </c>
      <c r="F42" s="661">
        <f>IFERROR((Table552024680[[#This Row],[Persons 2016]]/$C$17),"..")</f>
        <v>1</v>
      </c>
      <c r="G42" s="662">
        <f>E17</f>
        <v>143</v>
      </c>
      <c r="H42" s="663">
        <f>IFERROR((Table552024680[[#This Row],[Persons 2016]]-Table552024680[[#This Row],[Persons 2011]])/Table552024680[[#This Row],[Persons 2011]],"..")</f>
        <v>0.11188811188811189</v>
      </c>
      <c r="I42" s="1242"/>
      <c r="J42" s="1242"/>
    </row>
    <row r="43" spans="2:10" s="329" customFormat="1">
      <c r="B43" s="349" t="s">
        <v>366</v>
      </c>
    </row>
    <row r="45" spans="2:10" ht="23.25">
      <c r="B45" s="127" t="s">
        <v>685</v>
      </c>
    </row>
    <row r="46" spans="2:10" ht="15.75">
      <c r="B46" s="138" t="s">
        <v>832</v>
      </c>
    </row>
    <row r="47" spans="2:10">
      <c r="B47" s="149" t="s">
        <v>871</v>
      </c>
    </row>
    <row r="48" spans="2:10">
      <c r="B48" s="664" t="s">
        <v>14</v>
      </c>
      <c r="C48" s="665" t="s">
        <v>23</v>
      </c>
      <c r="D48" s="665" t="s">
        <v>24</v>
      </c>
      <c r="E48" s="665" t="s">
        <v>25</v>
      </c>
      <c r="F48" s="665" t="s">
        <v>26</v>
      </c>
      <c r="G48" s="665" t="s">
        <v>27</v>
      </c>
      <c r="H48" s="666" t="s">
        <v>28</v>
      </c>
    </row>
    <row r="49" spans="2:8">
      <c r="B49" s="667" t="s">
        <v>92</v>
      </c>
      <c r="C49" s="155">
        <v>0</v>
      </c>
      <c r="D49" s="155">
        <v>4</v>
      </c>
      <c r="E49" s="155">
        <v>5</v>
      </c>
      <c r="F49" s="668">
        <v>18</v>
      </c>
      <c r="G49" s="155">
        <v>15</v>
      </c>
      <c r="H49" s="669">
        <v>42</v>
      </c>
    </row>
    <row r="50" spans="2:8">
      <c r="B50" s="670" t="s">
        <v>73</v>
      </c>
      <c r="C50" s="158">
        <v>0</v>
      </c>
      <c r="D50" s="158">
        <v>0</v>
      </c>
      <c r="E50" s="158">
        <v>3</v>
      </c>
      <c r="F50" s="671">
        <v>20</v>
      </c>
      <c r="G50" s="158">
        <v>9</v>
      </c>
      <c r="H50" s="672">
        <v>27</v>
      </c>
    </row>
    <row r="51" spans="2:8">
      <c r="B51" s="673" t="s">
        <v>76</v>
      </c>
      <c r="C51" s="155">
        <v>5</v>
      </c>
      <c r="D51" s="155">
        <v>0</v>
      </c>
      <c r="E51" s="155">
        <v>4</v>
      </c>
      <c r="F51" s="668">
        <v>7</v>
      </c>
      <c r="G51" s="155">
        <v>0</v>
      </c>
      <c r="H51" s="674">
        <v>14</v>
      </c>
    </row>
    <row r="52" spans="2:8">
      <c r="B52" s="675" t="s">
        <v>84</v>
      </c>
      <c r="C52" s="158">
        <v>0</v>
      </c>
      <c r="D52" s="158">
        <v>0</v>
      </c>
      <c r="E52" s="158">
        <v>0</v>
      </c>
      <c r="F52" s="671">
        <v>5</v>
      </c>
      <c r="G52" s="158">
        <v>0</v>
      </c>
      <c r="H52" s="672">
        <v>9</v>
      </c>
    </row>
    <row r="53" spans="2:8">
      <c r="B53" s="667" t="s">
        <v>130</v>
      </c>
      <c r="C53" s="155">
        <v>0</v>
      </c>
      <c r="D53" s="155">
        <v>0</v>
      </c>
      <c r="E53" s="155">
        <v>0</v>
      </c>
      <c r="F53" s="668">
        <v>0</v>
      </c>
      <c r="G53" s="155">
        <v>0</v>
      </c>
      <c r="H53" s="674">
        <v>8</v>
      </c>
    </row>
    <row r="54" spans="2:8">
      <c r="B54" s="670" t="s">
        <v>79</v>
      </c>
      <c r="C54" s="158">
        <v>0</v>
      </c>
      <c r="D54" s="158">
        <v>0</v>
      </c>
      <c r="E54" s="158">
        <v>0</v>
      </c>
      <c r="F54" s="671">
        <v>3</v>
      </c>
      <c r="G54" s="158">
        <v>0</v>
      </c>
      <c r="H54" s="672">
        <v>7</v>
      </c>
    </row>
    <row r="55" spans="2:8">
      <c r="B55" s="667" t="s">
        <v>78</v>
      </c>
      <c r="C55" s="155">
        <v>0</v>
      </c>
      <c r="D55" s="155">
        <v>0</v>
      </c>
      <c r="E55" s="155">
        <v>3</v>
      </c>
      <c r="F55" s="668">
        <v>4</v>
      </c>
      <c r="G55" s="155">
        <v>0</v>
      </c>
      <c r="H55" s="674">
        <v>7</v>
      </c>
    </row>
    <row r="56" spans="2:8">
      <c r="B56" s="670" t="s">
        <v>131</v>
      </c>
      <c r="C56" s="158">
        <v>0</v>
      </c>
      <c r="D56" s="158">
        <v>0</v>
      </c>
      <c r="E56" s="158">
        <v>0</v>
      </c>
      <c r="F56" s="671">
        <v>0</v>
      </c>
      <c r="G56" s="158">
        <v>4</v>
      </c>
      <c r="H56" s="672">
        <v>6</v>
      </c>
    </row>
    <row r="57" spans="2:8">
      <c r="B57" s="667" t="s">
        <v>83</v>
      </c>
      <c r="C57" s="155">
        <v>0</v>
      </c>
      <c r="D57" s="155">
        <v>0</v>
      </c>
      <c r="E57" s="155">
        <v>3</v>
      </c>
      <c r="F57" s="668">
        <v>4</v>
      </c>
      <c r="G57" s="155">
        <v>0</v>
      </c>
      <c r="H57" s="674">
        <v>4</v>
      </c>
    </row>
    <row r="58" spans="2:8">
      <c r="B58" s="675" t="s">
        <v>132</v>
      </c>
      <c r="C58" s="158">
        <v>0</v>
      </c>
      <c r="D58" s="158">
        <v>0</v>
      </c>
      <c r="E58" s="158">
        <v>0</v>
      </c>
      <c r="F58" s="671">
        <v>0</v>
      </c>
      <c r="G58" s="158">
        <v>4</v>
      </c>
      <c r="H58" s="672">
        <v>4</v>
      </c>
    </row>
    <row r="59" spans="2:8">
      <c r="B59" s="676" t="s">
        <v>29</v>
      </c>
      <c r="C59" s="141">
        <v>186</v>
      </c>
      <c r="D59" s="141">
        <v>98</v>
      </c>
      <c r="E59" s="141">
        <v>175</v>
      </c>
      <c r="F59" s="141">
        <v>280</v>
      </c>
      <c r="G59" s="141">
        <v>138</v>
      </c>
      <c r="H59" s="677">
        <v>873</v>
      </c>
    </row>
    <row r="60" spans="2:8">
      <c r="B60" s="678" t="s">
        <v>30</v>
      </c>
      <c r="C60" s="142">
        <v>0</v>
      </c>
      <c r="D60" s="142">
        <v>4</v>
      </c>
      <c r="E60" s="142">
        <v>8</v>
      </c>
      <c r="F60" s="142">
        <v>43</v>
      </c>
      <c r="G60" s="679">
        <v>28</v>
      </c>
      <c r="H60" s="680">
        <v>83</v>
      </c>
    </row>
    <row r="61" spans="2:8">
      <c r="B61" s="681" t="s">
        <v>31</v>
      </c>
      <c r="C61" s="682">
        <v>10</v>
      </c>
      <c r="D61" s="682">
        <v>4</v>
      </c>
      <c r="E61" s="682">
        <v>14</v>
      </c>
      <c r="F61" s="682">
        <v>34</v>
      </c>
      <c r="G61" s="682">
        <v>13</v>
      </c>
      <c r="H61" s="683">
        <v>78</v>
      </c>
    </row>
    <row r="63" spans="2:8" ht="23.25">
      <c r="B63" s="127" t="s">
        <v>686</v>
      </c>
    </row>
    <row r="64" spans="2:8" ht="15.75">
      <c r="B64" s="138" t="s">
        <v>833</v>
      </c>
    </row>
    <row r="65" spans="2:8">
      <c r="B65" s="149" t="s">
        <v>843</v>
      </c>
    </row>
    <row r="66" spans="2:8">
      <c r="B66" s="266" t="s">
        <v>14</v>
      </c>
      <c r="C66" s="144" t="s">
        <v>23</v>
      </c>
      <c r="D66" s="144" t="s">
        <v>24</v>
      </c>
      <c r="E66" s="144" t="s">
        <v>25</v>
      </c>
      <c r="F66" s="144" t="s">
        <v>26</v>
      </c>
      <c r="G66" s="144" t="s">
        <v>27</v>
      </c>
      <c r="H66" s="421" t="s">
        <v>28</v>
      </c>
    </row>
    <row r="67" spans="2:8">
      <c r="B67" s="292" t="str">
        <f t="shared" ref="B67:B76" si="2">B49</f>
        <v>England</v>
      </c>
      <c r="C67" s="64">
        <f t="shared" ref="C67:C79" si="3">SUM(C49/H49)</f>
        <v>0</v>
      </c>
      <c r="D67" s="64">
        <f t="shared" ref="D67:D79" si="4">SUM(D49/H49)</f>
        <v>9.5238095238095233E-2</v>
      </c>
      <c r="E67" s="64">
        <f t="shared" ref="E67:E79" si="5">SUM(E49/H49)</f>
        <v>0.11904761904761904</v>
      </c>
      <c r="F67" s="64">
        <f t="shared" ref="F67:F79" si="6">SUM(F49/H49)</f>
        <v>0.42857142857142855</v>
      </c>
      <c r="G67" s="64">
        <f t="shared" ref="G67:G79" si="7">SUM(G49/H49)</f>
        <v>0.35714285714285715</v>
      </c>
      <c r="H67" s="293">
        <f t="shared" ref="H67:H79" si="8">H49</f>
        <v>42</v>
      </c>
    </row>
    <row r="68" spans="2:8">
      <c r="B68" s="294" t="str">
        <f t="shared" si="2"/>
        <v>New Zealand</v>
      </c>
      <c r="C68" s="54">
        <f t="shared" si="3"/>
        <v>0</v>
      </c>
      <c r="D68" s="54">
        <f t="shared" si="4"/>
        <v>0</v>
      </c>
      <c r="E68" s="54">
        <f t="shared" si="5"/>
        <v>0.1111111111111111</v>
      </c>
      <c r="F68" s="54">
        <f t="shared" si="6"/>
        <v>0.7407407407407407</v>
      </c>
      <c r="G68" s="54">
        <f t="shared" si="7"/>
        <v>0.33333333333333331</v>
      </c>
      <c r="H68" s="295">
        <f t="shared" si="8"/>
        <v>27</v>
      </c>
    </row>
    <row r="69" spans="2:8">
      <c r="B69" s="292" t="str">
        <f t="shared" si="2"/>
        <v>Philippines</v>
      </c>
      <c r="C69" s="64">
        <f t="shared" si="3"/>
        <v>0.35714285714285715</v>
      </c>
      <c r="D69" s="64">
        <f t="shared" si="4"/>
        <v>0</v>
      </c>
      <c r="E69" s="64">
        <f t="shared" si="5"/>
        <v>0.2857142857142857</v>
      </c>
      <c r="F69" s="64">
        <f t="shared" si="6"/>
        <v>0.5</v>
      </c>
      <c r="G69" s="64">
        <f t="shared" si="7"/>
        <v>0</v>
      </c>
      <c r="H69" s="296">
        <f t="shared" si="8"/>
        <v>14</v>
      </c>
    </row>
    <row r="70" spans="2:8">
      <c r="B70" s="294" t="str">
        <f t="shared" si="2"/>
        <v>Netherlands</v>
      </c>
      <c r="C70" s="54">
        <f t="shared" si="3"/>
        <v>0</v>
      </c>
      <c r="D70" s="54">
        <f t="shared" si="4"/>
        <v>0</v>
      </c>
      <c r="E70" s="54">
        <f t="shared" si="5"/>
        <v>0</v>
      </c>
      <c r="F70" s="54">
        <f t="shared" si="6"/>
        <v>0.55555555555555558</v>
      </c>
      <c r="G70" s="54">
        <f t="shared" si="7"/>
        <v>0</v>
      </c>
      <c r="H70" s="295">
        <f t="shared" si="8"/>
        <v>9</v>
      </c>
    </row>
    <row r="71" spans="2:8">
      <c r="B71" s="292" t="str">
        <f t="shared" si="2"/>
        <v>Papua New Guinea</v>
      </c>
      <c r="C71" s="64">
        <f t="shared" si="3"/>
        <v>0</v>
      </c>
      <c r="D71" s="64">
        <f t="shared" si="4"/>
        <v>0</v>
      </c>
      <c r="E71" s="64">
        <f t="shared" si="5"/>
        <v>0</v>
      </c>
      <c r="F71" s="64">
        <f t="shared" si="6"/>
        <v>0</v>
      </c>
      <c r="G71" s="64">
        <f t="shared" si="7"/>
        <v>0</v>
      </c>
      <c r="H71" s="296">
        <f t="shared" si="8"/>
        <v>8</v>
      </c>
    </row>
    <row r="72" spans="2:8">
      <c r="B72" s="294" t="str">
        <f t="shared" si="2"/>
        <v>Germany</v>
      </c>
      <c r="C72" s="54">
        <f t="shared" si="3"/>
        <v>0</v>
      </c>
      <c r="D72" s="54">
        <f t="shared" si="4"/>
        <v>0</v>
      </c>
      <c r="E72" s="54">
        <f t="shared" si="5"/>
        <v>0</v>
      </c>
      <c r="F72" s="54">
        <f t="shared" si="6"/>
        <v>0.42857142857142855</v>
      </c>
      <c r="G72" s="54">
        <f t="shared" si="7"/>
        <v>0</v>
      </c>
      <c r="H72" s="295">
        <f t="shared" si="8"/>
        <v>7</v>
      </c>
    </row>
    <row r="73" spans="2:8">
      <c r="B73" s="292" t="str">
        <f t="shared" si="2"/>
        <v>South Africa</v>
      </c>
      <c r="C73" s="64">
        <f t="shared" si="3"/>
        <v>0</v>
      </c>
      <c r="D73" s="64">
        <f t="shared" si="4"/>
        <v>0</v>
      </c>
      <c r="E73" s="64">
        <f t="shared" si="5"/>
        <v>0.42857142857142855</v>
      </c>
      <c r="F73" s="64">
        <f t="shared" si="6"/>
        <v>0.5714285714285714</v>
      </c>
      <c r="G73" s="64">
        <f t="shared" si="7"/>
        <v>0</v>
      </c>
      <c r="H73" s="296">
        <f t="shared" si="8"/>
        <v>7</v>
      </c>
    </row>
    <row r="74" spans="2:8">
      <c r="B74" s="294" t="str">
        <f t="shared" si="2"/>
        <v>Scotland</v>
      </c>
      <c r="C74" s="54">
        <f t="shared" si="3"/>
        <v>0</v>
      </c>
      <c r="D74" s="54">
        <f t="shared" si="4"/>
        <v>0</v>
      </c>
      <c r="E74" s="54">
        <f t="shared" si="5"/>
        <v>0</v>
      </c>
      <c r="F74" s="54">
        <f t="shared" si="6"/>
        <v>0</v>
      </c>
      <c r="G74" s="54">
        <f t="shared" si="7"/>
        <v>0.66666666666666663</v>
      </c>
      <c r="H74" s="295">
        <f t="shared" si="8"/>
        <v>6</v>
      </c>
    </row>
    <row r="75" spans="2:8">
      <c r="B75" s="292" t="str">
        <f t="shared" si="2"/>
        <v>Ireland</v>
      </c>
      <c r="C75" s="64">
        <f t="shared" si="3"/>
        <v>0</v>
      </c>
      <c r="D75" s="64">
        <f t="shared" si="4"/>
        <v>0</v>
      </c>
      <c r="E75" s="64">
        <f t="shared" si="5"/>
        <v>0.75</v>
      </c>
      <c r="F75" s="64">
        <f t="shared" si="6"/>
        <v>1</v>
      </c>
      <c r="G75" s="64">
        <f t="shared" si="7"/>
        <v>0</v>
      </c>
      <c r="H75" s="296">
        <f t="shared" si="8"/>
        <v>4</v>
      </c>
    </row>
    <row r="76" spans="2:8">
      <c r="B76" s="294" t="str">
        <f t="shared" si="2"/>
        <v>Eastern Europe, nfd</v>
      </c>
      <c r="C76" s="54">
        <f t="shared" si="3"/>
        <v>0</v>
      </c>
      <c r="D76" s="54">
        <f t="shared" si="4"/>
        <v>0</v>
      </c>
      <c r="E76" s="54">
        <f t="shared" si="5"/>
        <v>0</v>
      </c>
      <c r="F76" s="54">
        <f t="shared" si="6"/>
        <v>0</v>
      </c>
      <c r="G76" s="54">
        <f t="shared" si="7"/>
        <v>1</v>
      </c>
      <c r="H76" s="295">
        <f t="shared" si="8"/>
        <v>4</v>
      </c>
    </row>
    <row r="77" spans="2:8">
      <c r="B77" s="297" t="s">
        <v>29</v>
      </c>
      <c r="C77" s="70">
        <f t="shared" si="3"/>
        <v>0.21305841924398625</v>
      </c>
      <c r="D77" s="70">
        <f t="shared" si="4"/>
        <v>0.11225658648339061</v>
      </c>
      <c r="E77" s="70">
        <f t="shared" si="5"/>
        <v>0.20045819014891181</v>
      </c>
      <c r="F77" s="70">
        <f t="shared" si="6"/>
        <v>0.3207331042382589</v>
      </c>
      <c r="G77" s="70">
        <f t="shared" si="7"/>
        <v>0.15807560137457044</v>
      </c>
      <c r="H77" s="278">
        <f t="shared" si="8"/>
        <v>873</v>
      </c>
    </row>
    <row r="78" spans="2:8">
      <c r="B78" s="298" t="s">
        <v>30</v>
      </c>
      <c r="C78" s="73">
        <f t="shared" si="3"/>
        <v>0</v>
      </c>
      <c r="D78" s="73">
        <f t="shared" si="4"/>
        <v>4.8192771084337352E-2</v>
      </c>
      <c r="E78" s="73">
        <f t="shared" si="5"/>
        <v>9.6385542168674704E-2</v>
      </c>
      <c r="F78" s="73">
        <f t="shared" si="6"/>
        <v>0.51807228915662651</v>
      </c>
      <c r="G78" s="73">
        <f t="shared" si="7"/>
        <v>0.33734939759036142</v>
      </c>
      <c r="H78" s="280">
        <f t="shared" si="8"/>
        <v>83</v>
      </c>
    </row>
    <row r="79" spans="2:8">
      <c r="B79" s="299" t="s">
        <v>31</v>
      </c>
      <c r="C79" s="300">
        <f t="shared" si="3"/>
        <v>0.12820512820512819</v>
      </c>
      <c r="D79" s="300">
        <f t="shared" si="4"/>
        <v>5.128205128205128E-2</v>
      </c>
      <c r="E79" s="300">
        <f t="shared" si="5"/>
        <v>0.17948717948717949</v>
      </c>
      <c r="F79" s="300">
        <f t="shared" si="6"/>
        <v>0.4358974358974359</v>
      </c>
      <c r="G79" s="300">
        <f t="shared" si="7"/>
        <v>0.16666666666666666</v>
      </c>
      <c r="H79" s="283">
        <f t="shared" si="8"/>
        <v>78</v>
      </c>
    </row>
    <row r="81" spans="2:8" ht="23.25">
      <c r="B81" s="127" t="s">
        <v>687</v>
      </c>
    </row>
    <row r="82" spans="2:8" ht="15.75">
      <c r="B82" s="150" t="s">
        <v>844</v>
      </c>
    </row>
    <row r="83" spans="2:8">
      <c r="B83" s="149" t="s">
        <v>887</v>
      </c>
    </row>
    <row r="84" spans="2:8">
      <c r="B84" s="151" t="s">
        <v>14</v>
      </c>
      <c r="C84" s="152" t="s">
        <v>32</v>
      </c>
      <c r="D84" s="152" t="s">
        <v>33</v>
      </c>
      <c r="E84" s="152" t="s">
        <v>34</v>
      </c>
      <c r="F84" s="152" t="s">
        <v>35</v>
      </c>
      <c r="G84" s="152">
        <v>2016</v>
      </c>
      <c r="H84" s="153" t="s">
        <v>28</v>
      </c>
    </row>
    <row r="85" spans="2:8" ht="10.5" customHeight="1">
      <c r="B85" s="154" t="s">
        <v>92</v>
      </c>
      <c r="C85" s="155">
        <v>25</v>
      </c>
      <c r="D85" s="155">
        <v>4</v>
      </c>
      <c r="E85" s="155">
        <v>0</v>
      </c>
      <c r="F85" s="156">
        <v>3</v>
      </c>
      <c r="G85" s="155">
        <v>0</v>
      </c>
      <c r="H85" s="157">
        <v>42</v>
      </c>
    </row>
    <row r="86" spans="2:8">
      <c r="B86" s="66" t="s">
        <v>73</v>
      </c>
      <c r="C86" s="158">
        <v>12</v>
      </c>
      <c r="D86" s="158">
        <v>4</v>
      </c>
      <c r="E86" s="158">
        <v>8</v>
      </c>
      <c r="F86" s="159">
        <v>5</v>
      </c>
      <c r="G86" s="158">
        <v>0</v>
      </c>
      <c r="H86" s="160">
        <v>27</v>
      </c>
    </row>
    <row r="87" spans="2:8">
      <c r="B87" s="63" t="s">
        <v>76</v>
      </c>
      <c r="C87" s="155">
        <v>0</v>
      </c>
      <c r="D87" s="155">
        <v>0</v>
      </c>
      <c r="E87" s="155">
        <v>0</v>
      </c>
      <c r="F87" s="156">
        <v>9</v>
      </c>
      <c r="G87" s="155">
        <v>0</v>
      </c>
      <c r="H87" s="161">
        <v>14</v>
      </c>
    </row>
    <row r="88" spans="2:8">
      <c r="B88" s="162" t="s">
        <v>84</v>
      </c>
      <c r="C88" s="158">
        <v>0</v>
      </c>
      <c r="D88" s="158">
        <v>0</v>
      </c>
      <c r="E88" s="158">
        <v>0</v>
      </c>
      <c r="F88" s="159">
        <v>5</v>
      </c>
      <c r="G88" s="158">
        <v>0</v>
      </c>
      <c r="H88" s="160">
        <v>9</v>
      </c>
    </row>
    <row r="89" spans="2:8">
      <c r="B89" s="154" t="s">
        <v>130</v>
      </c>
      <c r="C89" s="155">
        <v>3</v>
      </c>
      <c r="D89" s="155">
        <v>0</v>
      </c>
      <c r="E89" s="155">
        <v>0</v>
      </c>
      <c r="F89" s="156">
        <v>0</v>
      </c>
      <c r="G89" s="155">
        <v>3</v>
      </c>
      <c r="H89" s="161">
        <v>8</v>
      </c>
    </row>
    <row r="90" spans="2:8">
      <c r="B90" s="66" t="s">
        <v>79</v>
      </c>
      <c r="C90" s="158">
        <v>0</v>
      </c>
      <c r="D90" s="158">
        <v>0</v>
      </c>
      <c r="E90" s="158">
        <v>0</v>
      </c>
      <c r="F90" s="159">
        <v>0</v>
      </c>
      <c r="G90" s="158">
        <v>0</v>
      </c>
      <c r="H90" s="160">
        <v>7</v>
      </c>
    </row>
    <row r="91" spans="2:8">
      <c r="B91" s="63" t="s">
        <v>78</v>
      </c>
      <c r="C91" s="155">
        <v>0</v>
      </c>
      <c r="D91" s="155">
        <v>0</v>
      </c>
      <c r="E91" s="155">
        <v>0</v>
      </c>
      <c r="F91" s="156">
        <v>5</v>
      </c>
      <c r="G91" s="155">
        <v>0</v>
      </c>
      <c r="H91" s="161">
        <v>7</v>
      </c>
    </row>
    <row r="92" spans="2:8">
      <c r="B92" s="162" t="s">
        <v>131</v>
      </c>
      <c r="C92" s="158">
        <v>6</v>
      </c>
      <c r="D92" s="158">
        <v>0</v>
      </c>
      <c r="E92" s="158">
        <v>0</v>
      </c>
      <c r="F92" s="159">
        <v>0</v>
      </c>
      <c r="G92" s="158">
        <v>0</v>
      </c>
      <c r="H92" s="160">
        <v>6</v>
      </c>
    </row>
    <row r="93" spans="2:8">
      <c r="B93" s="63" t="s">
        <v>83</v>
      </c>
      <c r="C93" s="155">
        <v>0</v>
      </c>
      <c r="D93" s="155">
        <v>0</v>
      </c>
      <c r="E93" s="155">
        <v>0</v>
      </c>
      <c r="F93" s="156">
        <v>3</v>
      </c>
      <c r="G93" s="155">
        <v>0</v>
      </c>
      <c r="H93" s="161">
        <v>4</v>
      </c>
    </row>
    <row r="94" spans="2:8">
      <c r="B94" s="162" t="s">
        <v>132</v>
      </c>
      <c r="C94" s="158">
        <v>4</v>
      </c>
      <c r="D94" s="158">
        <v>0</v>
      </c>
      <c r="E94" s="158">
        <v>0</v>
      </c>
      <c r="F94" s="159">
        <v>0</v>
      </c>
      <c r="G94" s="158">
        <v>0</v>
      </c>
      <c r="H94" s="160">
        <v>4</v>
      </c>
    </row>
    <row r="95" spans="2:8">
      <c r="B95" s="163" t="s">
        <v>30</v>
      </c>
      <c r="C95" s="163">
        <v>44</v>
      </c>
      <c r="D95" s="163">
        <v>10</v>
      </c>
      <c r="E95" s="163">
        <v>9</v>
      </c>
      <c r="F95" s="163">
        <v>16</v>
      </c>
      <c r="G95" s="164">
        <v>0</v>
      </c>
      <c r="H95" s="165">
        <f>C19</f>
        <v>83</v>
      </c>
    </row>
    <row r="96" spans="2:8">
      <c r="B96" s="166" t="s">
        <v>31</v>
      </c>
      <c r="C96" s="166">
        <v>21</v>
      </c>
      <c r="D96" s="166">
        <v>4</v>
      </c>
      <c r="E96" s="166">
        <v>13</v>
      </c>
      <c r="F96" s="166">
        <v>23</v>
      </c>
      <c r="G96" s="167">
        <v>3</v>
      </c>
      <c r="H96" s="168">
        <f>C20</f>
        <v>78</v>
      </c>
    </row>
    <row r="97" spans="2:20" ht="23.25">
      <c r="B97" s="127"/>
    </row>
    <row r="98" spans="2:20" ht="23.25">
      <c r="B98" s="127" t="s">
        <v>688</v>
      </c>
    </row>
    <row r="99" spans="2:20" ht="15.75">
      <c r="B99" s="150" t="s">
        <v>846</v>
      </c>
    </row>
    <row r="100" spans="2:20">
      <c r="B100" s="149" t="s">
        <v>845</v>
      </c>
      <c r="J100" s="169"/>
      <c r="K100" s="170"/>
      <c r="L100" s="170"/>
      <c r="M100" s="170"/>
      <c r="N100" s="170"/>
    </row>
    <row r="101" spans="2:20">
      <c r="B101" s="151" t="s">
        <v>14</v>
      </c>
      <c r="C101" s="152" t="s">
        <v>32</v>
      </c>
      <c r="D101" s="152" t="s">
        <v>33</v>
      </c>
      <c r="E101" s="152" t="s">
        <v>34</v>
      </c>
      <c r="F101" s="152" t="s">
        <v>35</v>
      </c>
      <c r="G101" s="152">
        <v>2016</v>
      </c>
      <c r="H101" s="153" t="s">
        <v>28</v>
      </c>
      <c r="J101" s="169"/>
      <c r="K101" s="170"/>
      <c r="L101" s="170"/>
      <c r="M101" s="170"/>
      <c r="N101" s="170"/>
    </row>
    <row r="102" spans="2:20">
      <c r="B102" s="63" t="str">
        <f t="shared" ref="B102:B111" si="9">B85</f>
        <v>England</v>
      </c>
      <c r="C102" s="64">
        <f t="shared" ref="C102:C113" si="10">IFERROR(C85/H85,"-")</f>
        <v>0.59523809523809523</v>
      </c>
      <c r="D102" s="64">
        <f t="shared" ref="D102:D113" si="11">IFERROR(D85/H85,"-")</f>
        <v>9.5238095238095233E-2</v>
      </c>
      <c r="E102" s="64">
        <f t="shared" ref="E102:E113" si="12">IFERROR(E85/H85,"-")</f>
        <v>0</v>
      </c>
      <c r="F102" s="64">
        <f t="shared" ref="F102:F113" si="13">IFERROR(F85/H85,"-")</f>
        <v>7.1428571428571425E-2</v>
      </c>
      <c r="G102" s="64">
        <f t="shared" ref="G102:G113" si="14">IFERROR(G85/H85,"-")</f>
        <v>0</v>
      </c>
      <c r="H102" s="78">
        <f t="shared" ref="H102:H113" si="15">H85</f>
        <v>42</v>
      </c>
      <c r="J102" s="169"/>
      <c r="K102" s="170"/>
      <c r="L102" s="170"/>
      <c r="M102" s="170"/>
      <c r="N102" s="170"/>
    </row>
    <row r="103" spans="2:20">
      <c r="B103" s="66" t="str">
        <f t="shared" si="9"/>
        <v>New Zealand</v>
      </c>
      <c r="C103" s="54">
        <f t="shared" si="10"/>
        <v>0.44444444444444442</v>
      </c>
      <c r="D103" s="54">
        <f t="shared" si="11"/>
        <v>0.14814814814814814</v>
      </c>
      <c r="E103" s="54">
        <f t="shared" si="12"/>
        <v>0.29629629629629628</v>
      </c>
      <c r="F103" s="54">
        <f t="shared" si="13"/>
        <v>0.18518518518518517</v>
      </c>
      <c r="G103" s="54">
        <f t="shared" si="14"/>
        <v>0</v>
      </c>
      <c r="H103" s="79">
        <f t="shared" si="15"/>
        <v>27</v>
      </c>
      <c r="J103" s="169"/>
      <c r="K103" s="170"/>
      <c r="L103" s="170"/>
      <c r="M103" s="170"/>
      <c r="N103" s="170"/>
    </row>
    <row r="104" spans="2:20">
      <c r="B104" s="63" t="str">
        <f t="shared" si="9"/>
        <v>Philippines</v>
      </c>
      <c r="C104" s="64">
        <f t="shared" si="10"/>
        <v>0</v>
      </c>
      <c r="D104" s="64">
        <f t="shared" si="11"/>
        <v>0</v>
      </c>
      <c r="E104" s="64">
        <f t="shared" si="12"/>
        <v>0</v>
      </c>
      <c r="F104" s="64">
        <f t="shared" si="13"/>
        <v>0.6428571428571429</v>
      </c>
      <c r="G104" s="64">
        <f t="shared" si="14"/>
        <v>0</v>
      </c>
      <c r="H104" s="80">
        <f t="shared" si="15"/>
        <v>14</v>
      </c>
      <c r="J104" s="169"/>
      <c r="K104" s="170"/>
      <c r="L104" s="170"/>
      <c r="M104" s="170"/>
      <c r="N104" s="170"/>
    </row>
    <row r="105" spans="2:20">
      <c r="B105" s="66" t="str">
        <f t="shared" si="9"/>
        <v>Netherlands</v>
      </c>
      <c r="C105" s="54">
        <f t="shared" si="10"/>
        <v>0</v>
      </c>
      <c r="D105" s="54">
        <f t="shared" si="11"/>
        <v>0</v>
      </c>
      <c r="E105" s="54">
        <f t="shared" si="12"/>
        <v>0</v>
      </c>
      <c r="F105" s="54">
        <f t="shared" si="13"/>
        <v>0.55555555555555558</v>
      </c>
      <c r="G105" s="54">
        <f t="shared" si="14"/>
        <v>0</v>
      </c>
      <c r="H105" s="79">
        <f t="shared" si="15"/>
        <v>9</v>
      </c>
      <c r="J105" s="169"/>
      <c r="K105" s="170"/>
      <c r="L105" s="170"/>
      <c r="M105" s="170"/>
      <c r="N105" s="170"/>
    </row>
    <row r="106" spans="2:20">
      <c r="B106" s="63" t="str">
        <f t="shared" si="9"/>
        <v>Papua New Guinea</v>
      </c>
      <c r="C106" s="64">
        <f t="shared" si="10"/>
        <v>0.375</v>
      </c>
      <c r="D106" s="64">
        <f t="shared" si="11"/>
        <v>0</v>
      </c>
      <c r="E106" s="64">
        <f t="shared" si="12"/>
        <v>0</v>
      </c>
      <c r="F106" s="64">
        <f t="shared" si="13"/>
        <v>0</v>
      </c>
      <c r="G106" s="64">
        <f t="shared" si="14"/>
        <v>0.375</v>
      </c>
      <c r="H106" s="80">
        <f t="shared" si="15"/>
        <v>8</v>
      </c>
      <c r="J106" s="169"/>
      <c r="K106" s="170"/>
      <c r="L106" s="170"/>
      <c r="M106" s="170"/>
      <c r="N106" s="170"/>
    </row>
    <row r="107" spans="2:20">
      <c r="B107" s="66" t="str">
        <f t="shared" si="9"/>
        <v>Germany</v>
      </c>
      <c r="C107" s="54">
        <f t="shared" si="10"/>
        <v>0</v>
      </c>
      <c r="D107" s="54">
        <f t="shared" si="11"/>
        <v>0</v>
      </c>
      <c r="E107" s="54">
        <f t="shared" si="12"/>
        <v>0</v>
      </c>
      <c r="F107" s="54">
        <f t="shared" si="13"/>
        <v>0</v>
      </c>
      <c r="G107" s="54">
        <f t="shared" si="14"/>
        <v>0</v>
      </c>
      <c r="H107" s="79">
        <f t="shared" si="15"/>
        <v>7</v>
      </c>
      <c r="J107" s="169"/>
      <c r="K107" s="170"/>
      <c r="L107" s="170"/>
      <c r="M107" s="170"/>
      <c r="N107" s="170"/>
    </row>
    <row r="108" spans="2:20">
      <c r="B108" s="63" t="str">
        <f t="shared" si="9"/>
        <v>South Africa</v>
      </c>
      <c r="C108" s="64">
        <f t="shared" si="10"/>
        <v>0</v>
      </c>
      <c r="D108" s="64">
        <f t="shared" si="11"/>
        <v>0</v>
      </c>
      <c r="E108" s="64">
        <f t="shared" si="12"/>
        <v>0</v>
      </c>
      <c r="F108" s="64">
        <f t="shared" si="13"/>
        <v>0.7142857142857143</v>
      </c>
      <c r="G108" s="64">
        <f t="shared" si="14"/>
        <v>0</v>
      </c>
      <c r="H108" s="80">
        <f t="shared" si="15"/>
        <v>7</v>
      </c>
      <c r="O108" s="170"/>
      <c r="P108" s="170"/>
      <c r="Q108" s="170"/>
      <c r="R108" s="170"/>
      <c r="S108" s="170"/>
      <c r="T108" s="170"/>
    </row>
    <row r="109" spans="2:20">
      <c r="B109" s="66" t="str">
        <f t="shared" si="9"/>
        <v>Scotland</v>
      </c>
      <c r="C109" s="54">
        <f t="shared" si="10"/>
        <v>1</v>
      </c>
      <c r="D109" s="54">
        <f t="shared" si="11"/>
        <v>0</v>
      </c>
      <c r="E109" s="54">
        <f t="shared" si="12"/>
        <v>0</v>
      </c>
      <c r="F109" s="54">
        <f t="shared" si="13"/>
        <v>0</v>
      </c>
      <c r="G109" s="54">
        <f t="shared" si="14"/>
        <v>0</v>
      </c>
      <c r="H109" s="79">
        <f t="shared" si="15"/>
        <v>6</v>
      </c>
    </row>
    <row r="110" spans="2:20">
      <c r="B110" s="63" t="str">
        <f t="shared" si="9"/>
        <v>Ireland</v>
      </c>
      <c r="C110" s="64">
        <f t="shared" si="10"/>
        <v>0</v>
      </c>
      <c r="D110" s="64">
        <f t="shared" si="11"/>
        <v>0</v>
      </c>
      <c r="E110" s="64">
        <f t="shared" si="12"/>
        <v>0</v>
      </c>
      <c r="F110" s="64">
        <f t="shared" si="13"/>
        <v>0.75</v>
      </c>
      <c r="G110" s="64">
        <f t="shared" si="14"/>
        <v>0</v>
      </c>
      <c r="H110" s="80">
        <f t="shared" si="15"/>
        <v>4</v>
      </c>
    </row>
    <row r="111" spans="2:20">
      <c r="B111" s="81" t="str">
        <f t="shared" si="9"/>
        <v>Eastern Europe, nfd</v>
      </c>
      <c r="C111" s="82">
        <f t="shared" si="10"/>
        <v>1</v>
      </c>
      <c r="D111" s="82">
        <f t="shared" si="11"/>
        <v>0</v>
      </c>
      <c r="E111" s="82">
        <f t="shared" si="12"/>
        <v>0</v>
      </c>
      <c r="F111" s="82">
        <f t="shared" si="13"/>
        <v>0</v>
      </c>
      <c r="G111" s="82">
        <f t="shared" si="14"/>
        <v>0</v>
      </c>
      <c r="H111" s="83">
        <f t="shared" si="15"/>
        <v>4</v>
      </c>
    </row>
    <row r="112" spans="2:20">
      <c r="B112" s="72" t="s">
        <v>30</v>
      </c>
      <c r="C112" s="73">
        <f t="shared" si="10"/>
        <v>0.53012048192771088</v>
      </c>
      <c r="D112" s="73">
        <f t="shared" si="11"/>
        <v>0.12048192771084337</v>
      </c>
      <c r="E112" s="73">
        <f t="shared" si="12"/>
        <v>0.10843373493975904</v>
      </c>
      <c r="F112" s="73">
        <f t="shared" si="13"/>
        <v>0.19277108433734941</v>
      </c>
      <c r="G112" s="73">
        <f t="shared" si="14"/>
        <v>0</v>
      </c>
      <c r="H112" s="171">
        <f t="shared" si="15"/>
        <v>83</v>
      </c>
    </row>
    <row r="113" spans="2:8">
      <c r="B113" s="75" t="s">
        <v>31</v>
      </c>
      <c r="C113" s="76">
        <f t="shared" si="10"/>
        <v>0.26923076923076922</v>
      </c>
      <c r="D113" s="76">
        <f t="shared" si="11"/>
        <v>5.128205128205128E-2</v>
      </c>
      <c r="E113" s="76">
        <f t="shared" si="12"/>
        <v>0.16666666666666666</v>
      </c>
      <c r="F113" s="76">
        <f t="shared" si="13"/>
        <v>0.29487179487179488</v>
      </c>
      <c r="G113" s="76">
        <f t="shared" si="14"/>
        <v>3.8461538461538464E-2</v>
      </c>
      <c r="H113" s="172">
        <f t="shared" si="15"/>
        <v>78</v>
      </c>
    </row>
    <row r="115" spans="2:8" ht="23.25">
      <c r="B115" s="127" t="s">
        <v>689</v>
      </c>
    </row>
    <row r="116" spans="2:8" ht="15.75">
      <c r="B116" s="150" t="s">
        <v>330</v>
      </c>
    </row>
    <row r="117" spans="2:8" ht="25.5">
      <c r="B117" s="173" t="s">
        <v>36</v>
      </c>
      <c r="C117" s="173" t="s">
        <v>37</v>
      </c>
      <c r="D117" s="173" t="s">
        <v>38</v>
      </c>
      <c r="E117" s="173" t="s">
        <v>6</v>
      </c>
      <c r="F117" s="173" t="s">
        <v>39</v>
      </c>
      <c r="G117" s="173" t="s">
        <v>7</v>
      </c>
      <c r="H117" s="173" t="s">
        <v>40</v>
      </c>
    </row>
    <row r="118" spans="2:8">
      <c r="B118" s="155" t="s">
        <v>95</v>
      </c>
      <c r="C118" s="103">
        <v>14</v>
      </c>
      <c r="D118" s="103">
        <v>18</v>
      </c>
      <c r="E118" s="103">
        <v>28</v>
      </c>
      <c r="F118" s="224">
        <f>IFERROR(Table792226882[[#This Row],[Persons]]/$C$23,"-")</f>
        <v>0.29473684210526313</v>
      </c>
      <c r="G118" s="103">
        <v>18</v>
      </c>
      <c r="H118" s="64">
        <f t="shared" ref="H118:H128" si="16">IFERROR(((E118-G118)/G118),"..")</f>
        <v>0.55555555555555558</v>
      </c>
    </row>
    <row r="119" spans="2:8">
      <c r="B119" s="158" t="s">
        <v>205</v>
      </c>
      <c r="C119" s="106">
        <v>6</v>
      </c>
      <c r="D119" s="106">
        <v>0</v>
      </c>
      <c r="E119" s="106">
        <v>7</v>
      </c>
      <c r="F119" s="226">
        <f>IFERROR(Table792226882[[#This Row],[Persons]]/$C$23,"-")</f>
        <v>7.3684210526315783E-2</v>
      </c>
      <c r="G119" s="106"/>
      <c r="H119" s="54" t="str">
        <f t="shared" si="16"/>
        <v>..</v>
      </c>
    </row>
    <row r="120" spans="2:8">
      <c r="B120" s="155" t="s">
        <v>98</v>
      </c>
      <c r="C120" s="103">
        <v>3</v>
      </c>
      <c r="D120" s="103">
        <v>0</v>
      </c>
      <c r="E120" s="103">
        <v>6</v>
      </c>
      <c r="F120" s="224">
        <f>IFERROR(Table792226882[[#This Row],[Persons]]/$C$23,"-")</f>
        <v>6.3157894736842107E-2</v>
      </c>
      <c r="G120" s="103"/>
      <c r="H120" s="64" t="str">
        <f t="shared" si="16"/>
        <v>..</v>
      </c>
    </row>
    <row r="121" spans="2:8">
      <c r="B121" s="158" t="s">
        <v>52</v>
      </c>
      <c r="C121" s="106">
        <v>0</v>
      </c>
      <c r="D121" s="106">
        <v>4</v>
      </c>
      <c r="E121" s="106">
        <v>6</v>
      </c>
      <c r="F121" s="226">
        <f>IFERROR(Table792226882[[#This Row],[Persons]]/$C$23,"-")</f>
        <v>6.3157894736842107E-2</v>
      </c>
      <c r="G121" s="106"/>
      <c r="H121" s="54" t="str">
        <f t="shared" si="16"/>
        <v>..</v>
      </c>
    </row>
    <row r="122" spans="2:8">
      <c r="B122" s="155" t="s">
        <v>206</v>
      </c>
      <c r="C122" s="103">
        <v>0</v>
      </c>
      <c r="D122" s="103">
        <v>0</v>
      </c>
      <c r="E122" s="103">
        <v>4</v>
      </c>
      <c r="F122" s="224">
        <f>IFERROR(Table792226882[[#This Row],[Persons]]/$C$23,"-")</f>
        <v>4.2105263157894736E-2</v>
      </c>
      <c r="G122" s="103"/>
      <c r="H122" s="64" t="str">
        <f t="shared" si="16"/>
        <v>..</v>
      </c>
    </row>
    <row r="123" spans="2:8">
      <c r="B123" s="158" t="s">
        <v>107</v>
      </c>
      <c r="C123" s="106">
        <v>0</v>
      </c>
      <c r="D123" s="106">
        <v>4</v>
      </c>
      <c r="E123" s="106">
        <v>4</v>
      </c>
      <c r="F123" s="226">
        <f>IFERROR(Table792226882[[#This Row],[Persons]]/$C$23,"-")</f>
        <v>4.2105263157894736E-2</v>
      </c>
      <c r="G123" s="106"/>
      <c r="H123" s="54" t="str">
        <f t="shared" si="16"/>
        <v>..</v>
      </c>
    </row>
    <row r="124" spans="2:8">
      <c r="B124" s="155" t="s">
        <v>195</v>
      </c>
      <c r="C124" s="103">
        <v>4</v>
      </c>
      <c r="D124" s="103">
        <v>0</v>
      </c>
      <c r="E124" s="103">
        <v>4</v>
      </c>
      <c r="F124" s="224">
        <f>IFERROR(Table792226882[[#This Row],[Persons]]/$C$23,"-")</f>
        <v>4.2105263157894736E-2</v>
      </c>
      <c r="G124" s="103"/>
      <c r="H124" s="64" t="str">
        <f t="shared" si="16"/>
        <v>..</v>
      </c>
    </row>
    <row r="125" spans="2:8">
      <c r="B125" s="158" t="s">
        <v>207</v>
      </c>
      <c r="C125" s="106">
        <v>0</v>
      </c>
      <c r="D125" s="106">
        <v>0</v>
      </c>
      <c r="E125" s="106">
        <v>4</v>
      </c>
      <c r="F125" s="226">
        <f>IFERROR(Table792226882[[#This Row],[Persons]]/$C$23,"-")</f>
        <v>4.2105263157894736E-2</v>
      </c>
      <c r="G125" s="106"/>
      <c r="H125" s="54" t="str">
        <f t="shared" si="16"/>
        <v>..</v>
      </c>
    </row>
    <row r="126" spans="2:8">
      <c r="B126" s="155" t="s">
        <v>97</v>
      </c>
      <c r="C126" s="103">
        <v>0</v>
      </c>
      <c r="D126" s="103">
        <v>3</v>
      </c>
      <c r="E126" s="103">
        <v>3</v>
      </c>
      <c r="F126" s="224">
        <f>IFERROR(Table792226882[[#This Row],[Persons]]/$C$23,"-")</f>
        <v>3.1578947368421054E-2</v>
      </c>
      <c r="G126" s="103"/>
      <c r="H126" s="64" t="str">
        <f t="shared" si="16"/>
        <v>..</v>
      </c>
    </row>
    <row r="127" spans="2:8">
      <c r="B127" s="158" t="s">
        <v>54</v>
      </c>
      <c r="C127" s="106">
        <v>0</v>
      </c>
      <c r="D127" s="106">
        <v>0</v>
      </c>
      <c r="E127" s="106">
        <v>3</v>
      </c>
      <c r="F127" s="226">
        <f>IFERROR(Table792226882[[#This Row],[Persons]]/$C$23,"-")</f>
        <v>3.1578947368421054E-2</v>
      </c>
      <c r="G127" s="106"/>
      <c r="H127" s="54" t="str">
        <f t="shared" si="16"/>
        <v>..</v>
      </c>
    </row>
    <row r="128" spans="2:8">
      <c r="B128" s="155" t="s">
        <v>127</v>
      </c>
      <c r="C128" s="103">
        <f>Table792226882[[#Totals],[Males]]-SUM(C118:C127)</f>
        <v>20</v>
      </c>
      <c r="D128" s="103">
        <f>Table792226882[[#Totals],[Females]]-SUM(D118:D127)</f>
        <v>23</v>
      </c>
      <c r="E128" s="103">
        <f>Table792226882[[#Totals],[Persons]]-SUM(E118:E127)</f>
        <v>26</v>
      </c>
      <c r="F128" s="224">
        <f>IFERROR(Table792226882[[#This Row],[Persons]]/$C$23,"-")</f>
        <v>0.27368421052631581</v>
      </c>
      <c r="G128" s="103">
        <v>48</v>
      </c>
      <c r="H128" s="64">
        <f t="shared" si="16"/>
        <v>-0.45833333333333331</v>
      </c>
    </row>
    <row r="129" spans="2:9">
      <c r="B129" s="284" t="s">
        <v>872</v>
      </c>
      <c r="C129" s="175" t="s">
        <v>209</v>
      </c>
      <c r="D129" s="175" t="s">
        <v>210</v>
      </c>
      <c r="E129" s="176" t="s">
        <v>211</v>
      </c>
      <c r="F129" s="177" t="s">
        <v>22</v>
      </c>
      <c r="G129" s="176">
        <f>E23</f>
        <v>66</v>
      </c>
      <c r="H129" s="637">
        <f>(Table792226882[[#Totals],[Persons]]-Table792226882[[#Totals],[2011 Census]])/Table792226882[[#Totals],[2011 Census]]</f>
        <v>0.43939393939393939</v>
      </c>
    </row>
    <row r="130" spans="2:9">
      <c r="B130" s="389" t="s">
        <v>873</v>
      </c>
      <c r="C130" s="180"/>
      <c r="D130" s="180"/>
      <c r="E130" s="180"/>
      <c r="F130" s="181"/>
      <c r="G130" s="180"/>
      <c r="H130" s="180"/>
      <c r="I130" s="182"/>
    </row>
    <row r="131" spans="2:9">
      <c r="B131" s="389"/>
      <c r="C131" s="180"/>
      <c r="D131" s="180"/>
      <c r="E131" s="180"/>
      <c r="F131" s="181"/>
      <c r="G131" s="180"/>
      <c r="H131" s="180"/>
      <c r="I131" s="182"/>
    </row>
    <row r="132" spans="2:9" ht="23.25">
      <c r="B132" s="127" t="s">
        <v>690</v>
      </c>
    </row>
    <row r="133" spans="2:9" ht="15.75">
      <c r="B133" s="150" t="s">
        <v>825</v>
      </c>
    </row>
    <row r="134" spans="2:9">
      <c r="B134" s="140" t="s">
        <v>36</v>
      </c>
      <c r="C134" s="145" t="s">
        <v>42</v>
      </c>
      <c r="D134" s="145" t="s">
        <v>43</v>
      </c>
      <c r="E134" s="145" t="s">
        <v>44</v>
      </c>
      <c r="F134" s="145" t="s">
        <v>45</v>
      </c>
      <c r="G134" s="145" t="s">
        <v>46</v>
      </c>
      <c r="H134" s="145" t="s">
        <v>28</v>
      </c>
    </row>
    <row r="135" spans="2:9">
      <c r="B135" s="185" t="s">
        <v>128</v>
      </c>
      <c r="C135" s="186"/>
      <c r="D135" s="186"/>
      <c r="E135" s="186"/>
      <c r="F135" s="186"/>
      <c r="G135" s="186"/>
      <c r="H135" s="187"/>
    </row>
    <row r="136" spans="2:9">
      <c r="B136" s="188" t="s">
        <v>48</v>
      </c>
      <c r="C136" s="238">
        <v>8</v>
      </c>
      <c r="D136" s="238">
        <v>5</v>
      </c>
      <c r="E136" s="238">
        <v>3</v>
      </c>
      <c r="F136" s="238">
        <v>6</v>
      </c>
      <c r="G136" s="238">
        <v>0</v>
      </c>
      <c r="H136" s="554">
        <v>28</v>
      </c>
    </row>
    <row r="137" spans="2:9">
      <c r="B137" s="191" t="s">
        <v>49</v>
      </c>
      <c r="C137" s="241">
        <v>0</v>
      </c>
      <c r="D137" s="241">
        <v>0</v>
      </c>
      <c r="E137" s="241">
        <v>0</v>
      </c>
      <c r="F137" s="241">
        <v>0</v>
      </c>
      <c r="G137" s="241">
        <v>0</v>
      </c>
      <c r="H137" s="203">
        <v>0</v>
      </c>
    </row>
    <row r="138" spans="2:9">
      <c r="B138" s="188" t="s">
        <v>50</v>
      </c>
      <c r="C138" s="238">
        <v>8</v>
      </c>
      <c r="D138" s="238">
        <v>5</v>
      </c>
      <c r="E138" s="238">
        <v>3</v>
      </c>
      <c r="F138" s="238">
        <v>6</v>
      </c>
      <c r="G138" s="238">
        <v>0</v>
      </c>
      <c r="H138" s="554">
        <v>28</v>
      </c>
    </row>
    <row r="139" spans="2:9">
      <c r="B139" s="194" t="s">
        <v>51</v>
      </c>
      <c r="C139" s="96">
        <f>IFERROR(C137/$H$138,"-")</f>
        <v>0</v>
      </c>
      <c r="D139" s="96">
        <f t="shared" ref="D139:H139" si="17">IFERROR(D137/$H$138,"-")</f>
        <v>0</v>
      </c>
      <c r="E139" s="96">
        <f t="shared" si="17"/>
        <v>0</v>
      </c>
      <c r="F139" s="96">
        <f t="shared" si="17"/>
        <v>0</v>
      </c>
      <c r="G139" s="96">
        <f t="shared" si="17"/>
        <v>0</v>
      </c>
      <c r="H139" s="97">
        <f t="shared" si="17"/>
        <v>0</v>
      </c>
    </row>
    <row r="140" spans="2:9">
      <c r="B140" s="195" t="s">
        <v>205</v>
      </c>
      <c r="C140" s="196"/>
      <c r="D140" s="196"/>
      <c r="E140" s="196"/>
      <c r="F140" s="196"/>
      <c r="G140" s="196"/>
      <c r="H140" s="197"/>
    </row>
    <row r="141" spans="2:9">
      <c r="B141" s="191" t="s">
        <v>48</v>
      </c>
      <c r="C141" s="241">
        <v>3</v>
      </c>
      <c r="D141" s="241">
        <v>0</v>
      </c>
      <c r="E141" s="241">
        <v>0</v>
      </c>
      <c r="F141" s="241">
        <v>5</v>
      </c>
      <c r="G141" s="241">
        <v>0</v>
      </c>
      <c r="H141" s="203">
        <v>8</v>
      </c>
    </row>
    <row r="142" spans="2:9">
      <c r="B142" s="188" t="s">
        <v>49</v>
      </c>
      <c r="C142" s="238"/>
      <c r="D142" s="238"/>
      <c r="E142" s="238"/>
      <c r="F142" s="238"/>
      <c r="G142" s="238"/>
      <c r="H142" s="554"/>
    </row>
    <row r="143" spans="2:9">
      <c r="B143" s="191" t="s">
        <v>50</v>
      </c>
      <c r="C143" s="241">
        <v>3</v>
      </c>
      <c r="D143" s="241">
        <v>0</v>
      </c>
      <c r="E143" s="241">
        <v>0</v>
      </c>
      <c r="F143" s="241">
        <v>5</v>
      </c>
      <c r="G143" s="241">
        <v>0</v>
      </c>
      <c r="H143" s="203">
        <v>7</v>
      </c>
    </row>
    <row r="144" spans="2:9">
      <c r="B144" s="202" t="s">
        <v>51</v>
      </c>
      <c r="C144" s="101">
        <f t="shared" ref="C144:H144" si="18">IFERROR(C142/$H$143,"..")</f>
        <v>0</v>
      </c>
      <c r="D144" s="101">
        <f t="shared" si="18"/>
        <v>0</v>
      </c>
      <c r="E144" s="101">
        <f t="shared" si="18"/>
        <v>0</v>
      </c>
      <c r="F144" s="101">
        <f t="shared" si="18"/>
        <v>0</v>
      </c>
      <c r="G144" s="101">
        <f t="shared" si="18"/>
        <v>0</v>
      </c>
      <c r="H144" s="99">
        <f t="shared" si="18"/>
        <v>0</v>
      </c>
    </row>
    <row r="145" spans="2:8">
      <c r="B145" s="185" t="s">
        <v>98</v>
      </c>
      <c r="C145" s="186"/>
      <c r="D145" s="186"/>
      <c r="E145" s="186"/>
      <c r="F145" s="186"/>
      <c r="G145" s="186"/>
      <c r="H145" s="203"/>
    </row>
    <row r="146" spans="2:8">
      <c r="B146" s="188" t="s">
        <v>48</v>
      </c>
      <c r="C146" s="238">
        <v>0</v>
      </c>
      <c r="D146" s="238">
        <v>0</v>
      </c>
      <c r="E146" s="238">
        <v>0</v>
      </c>
      <c r="F146" s="239">
        <v>0</v>
      </c>
      <c r="G146" s="434">
        <v>4</v>
      </c>
      <c r="H146" s="554">
        <v>3</v>
      </c>
    </row>
    <row r="147" spans="2:8">
      <c r="B147" s="191" t="s">
        <v>49</v>
      </c>
      <c r="C147" s="241">
        <v>0</v>
      </c>
      <c r="D147" s="241">
        <v>0</v>
      </c>
      <c r="E147" s="241">
        <v>0</v>
      </c>
      <c r="F147" s="242">
        <v>0</v>
      </c>
      <c r="G147" s="241">
        <v>0</v>
      </c>
      <c r="H147" s="203">
        <v>0</v>
      </c>
    </row>
    <row r="148" spans="2:8">
      <c r="B148" s="188" t="s">
        <v>50</v>
      </c>
      <c r="C148" s="238">
        <v>0</v>
      </c>
      <c r="D148" s="238">
        <v>0</v>
      </c>
      <c r="E148" s="238">
        <v>0</v>
      </c>
      <c r="F148" s="238">
        <v>0</v>
      </c>
      <c r="G148" s="435">
        <v>4</v>
      </c>
      <c r="H148" s="554">
        <v>6</v>
      </c>
    </row>
    <row r="149" spans="2:8">
      <c r="B149" s="194" t="s">
        <v>51</v>
      </c>
      <c r="C149" s="96">
        <f>IFERROR(C147/$H$148,"..")</f>
        <v>0</v>
      </c>
      <c r="D149" s="96">
        <f t="shared" ref="D149:H149" si="19">IFERROR(D147/$H$148,"..")</f>
        <v>0</v>
      </c>
      <c r="E149" s="96">
        <f t="shared" si="19"/>
        <v>0</v>
      </c>
      <c r="F149" s="96">
        <f t="shared" si="19"/>
        <v>0</v>
      </c>
      <c r="G149" s="96">
        <f t="shared" si="19"/>
        <v>0</v>
      </c>
      <c r="H149" s="97">
        <f t="shared" si="19"/>
        <v>0</v>
      </c>
    </row>
    <row r="150" spans="2:8">
      <c r="B150" s="195" t="s">
        <v>195</v>
      </c>
      <c r="C150" s="196"/>
      <c r="D150" s="196"/>
      <c r="E150" s="196"/>
      <c r="F150" s="196"/>
      <c r="G150" s="196"/>
      <c r="H150" s="197"/>
    </row>
    <row r="151" spans="2:8">
      <c r="B151" s="191" t="s">
        <v>48</v>
      </c>
      <c r="C151" s="241">
        <v>0</v>
      </c>
      <c r="D151" s="241">
        <v>0</v>
      </c>
      <c r="E151" s="241">
        <v>0</v>
      </c>
      <c r="F151" s="241">
        <v>0</v>
      </c>
      <c r="G151" s="241">
        <v>0</v>
      </c>
      <c r="H151" s="203">
        <v>0</v>
      </c>
    </row>
    <row r="152" spans="2:8">
      <c r="B152" s="188" t="s">
        <v>49</v>
      </c>
      <c r="C152" s="238">
        <v>0</v>
      </c>
      <c r="D152" s="238">
        <v>0</v>
      </c>
      <c r="E152" s="238">
        <v>0</v>
      </c>
      <c r="F152" s="238">
        <v>0</v>
      </c>
      <c r="G152" s="238">
        <v>0</v>
      </c>
      <c r="H152" s="554">
        <v>0</v>
      </c>
    </row>
    <row r="153" spans="2:8">
      <c r="B153" s="191" t="s">
        <v>50</v>
      </c>
      <c r="C153" s="241">
        <v>4</v>
      </c>
      <c r="D153" s="241">
        <v>0</v>
      </c>
      <c r="E153" s="241">
        <v>0</v>
      </c>
      <c r="F153" s="241">
        <v>0</v>
      </c>
      <c r="G153" s="241">
        <v>0</v>
      </c>
      <c r="H153" s="203">
        <v>4</v>
      </c>
    </row>
    <row r="154" spans="2:8">
      <c r="B154" s="202" t="s">
        <v>51</v>
      </c>
      <c r="C154" s="98">
        <f>IFERROR(C152/$H$153,"..")</f>
        <v>0</v>
      </c>
      <c r="D154" s="98">
        <f t="shared" ref="D154:H154" si="20">IFERROR(D152/$H$153,"..")</f>
        <v>0</v>
      </c>
      <c r="E154" s="98">
        <f t="shared" si="20"/>
        <v>0</v>
      </c>
      <c r="F154" s="98">
        <f t="shared" si="20"/>
        <v>0</v>
      </c>
      <c r="G154" s="98">
        <f t="shared" si="20"/>
        <v>0</v>
      </c>
      <c r="H154" s="100">
        <f t="shared" si="20"/>
        <v>0</v>
      </c>
    </row>
    <row r="155" spans="2:8">
      <c r="B155" s="185" t="s">
        <v>206</v>
      </c>
      <c r="C155" s="186"/>
      <c r="D155" s="186"/>
      <c r="E155" s="186"/>
      <c r="F155" s="186"/>
      <c r="G155" s="186"/>
      <c r="H155" s="187"/>
    </row>
    <row r="156" spans="2:8">
      <c r="B156" s="188" t="s">
        <v>48</v>
      </c>
      <c r="C156" s="238">
        <v>0</v>
      </c>
      <c r="D156" s="238">
        <v>0</v>
      </c>
      <c r="E156" s="238">
        <v>0</v>
      </c>
      <c r="F156" s="238">
        <v>0</v>
      </c>
      <c r="G156" s="238">
        <v>4</v>
      </c>
      <c r="H156" s="554">
        <v>4</v>
      </c>
    </row>
    <row r="157" spans="2:8">
      <c r="B157" s="191" t="s">
        <v>49</v>
      </c>
      <c r="C157" s="241">
        <v>0</v>
      </c>
      <c r="D157" s="241">
        <v>0</v>
      </c>
      <c r="E157" s="241">
        <v>0</v>
      </c>
      <c r="F157" s="241">
        <v>0</v>
      </c>
      <c r="G157" s="241">
        <v>0</v>
      </c>
      <c r="H157" s="203">
        <v>0</v>
      </c>
    </row>
    <row r="158" spans="2:8">
      <c r="B158" s="188" t="s">
        <v>50</v>
      </c>
      <c r="C158" s="238">
        <v>0</v>
      </c>
      <c r="D158" s="238">
        <v>0</v>
      </c>
      <c r="E158" s="238">
        <v>0</v>
      </c>
      <c r="F158" s="238">
        <v>0</v>
      </c>
      <c r="G158" s="238">
        <v>4</v>
      </c>
      <c r="H158" s="554">
        <v>4</v>
      </c>
    </row>
    <row r="159" spans="2:8">
      <c r="B159" s="194" t="s">
        <v>51</v>
      </c>
      <c r="C159" s="96">
        <f>IFERROR(C157/$H$158,"..")</f>
        <v>0</v>
      </c>
      <c r="D159" s="96">
        <f t="shared" ref="D159:H159" si="21">IFERROR(D157/$H$158,"..")</f>
        <v>0</v>
      </c>
      <c r="E159" s="96">
        <f t="shared" si="21"/>
        <v>0</v>
      </c>
      <c r="F159" s="96">
        <f t="shared" si="21"/>
        <v>0</v>
      </c>
      <c r="G159" s="96">
        <f t="shared" si="21"/>
        <v>0</v>
      </c>
      <c r="H159" s="97">
        <f t="shared" si="21"/>
        <v>0</v>
      </c>
    </row>
    <row r="160" spans="2:8">
      <c r="B160" s="195" t="s">
        <v>114</v>
      </c>
      <c r="C160" s="196"/>
      <c r="D160" s="196"/>
      <c r="E160" s="196"/>
      <c r="F160" s="196"/>
      <c r="G160" s="196"/>
      <c r="H160" s="197"/>
    </row>
    <row r="161" spans="2:10">
      <c r="B161" s="191" t="s">
        <v>48</v>
      </c>
      <c r="C161" s="241">
        <v>16</v>
      </c>
      <c r="D161" s="241">
        <v>11</v>
      </c>
      <c r="E161" s="241">
        <v>17</v>
      </c>
      <c r="F161" s="241">
        <v>21</v>
      </c>
      <c r="G161" s="241">
        <v>8</v>
      </c>
      <c r="H161" s="203">
        <v>67</v>
      </c>
    </row>
    <row r="162" spans="2:10">
      <c r="B162" s="188" t="s">
        <v>49</v>
      </c>
      <c r="C162" s="238">
        <v>0</v>
      </c>
      <c r="D162" s="238">
        <v>0</v>
      </c>
      <c r="E162" s="238">
        <v>0</v>
      </c>
      <c r="F162" s="238">
        <v>4</v>
      </c>
      <c r="G162" s="238">
        <v>4</v>
      </c>
      <c r="H162" s="554">
        <v>7</v>
      </c>
    </row>
    <row r="163" spans="2:10">
      <c r="B163" s="191" t="s">
        <v>50</v>
      </c>
      <c r="C163" s="241">
        <v>17</v>
      </c>
      <c r="D163" s="241">
        <v>11</v>
      </c>
      <c r="E163" s="241">
        <v>12</v>
      </c>
      <c r="F163" s="241">
        <v>28</v>
      </c>
      <c r="G163" s="241">
        <v>10</v>
      </c>
      <c r="H163" s="203">
        <v>79</v>
      </c>
    </row>
    <row r="164" spans="2:10">
      <c r="B164" s="202" t="s">
        <v>51</v>
      </c>
      <c r="C164" s="101">
        <f>IFERROR(C162/$H$163,"-")</f>
        <v>0</v>
      </c>
      <c r="D164" s="101">
        <f t="shared" ref="D164:H164" si="22">IFERROR(D162/$H$163,"-")</f>
        <v>0</v>
      </c>
      <c r="E164" s="101">
        <f t="shared" si="22"/>
        <v>0</v>
      </c>
      <c r="F164" s="101">
        <f t="shared" si="22"/>
        <v>5.0632911392405063E-2</v>
      </c>
      <c r="G164" s="101">
        <f t="shared" si="22"/>
        <v>5.0632911392405063E-2</v>
      </c>
      <c r="H164" s="99">
        <f t="shared" si="22"/>
        <v>8.8607594936708861E-2</v>
      </c>
    </row>
    <row r="166" spans="2:10" ht="23.25">
      <c r="B166" s="127" t="s">
        <v>691</v>
      </c>
    </row>
    <row r="167" spans="2:10" ht="15.75">
      <c r="B167" s="150" t="s">
        <v>826</v>
      </c>
      <c r="J167" s="555"/>
    </row>
    <row r="168" spans="2:10" ht="25.5">
      <c r="B168" s="684"/>
      <c r="C168" s="1234" t="s">
        <v>125</v>
      </c>
      <c r="D168" s="1234"/>
      <c r="E168" s="1234"/>
      <c r="F168" s="1238"/>
      <c r="G168" s="607" t="s">
        <v>10</v>
      </c>
      <c r="H168" s="212" t="s">
        <v>58</v>
      </c>
      <c r="I168" s="213" t="s">
        <v>70</v>
      </c>
    </row>
    <row r="169" spans="2:10" ht="63.75">
      <c r="B169" s="560" t="s">
        <v>879</v>
      </c>
      <c r="C169" s="214" t="s">
        <v>61</v>
      </c>
      <c r="D169" s="214" t="s">
        <v>60</v>
      </c>
      <c r="E169" s="214" t="s">
        <v>59</v>
      </c>
      <c r="F169" s="609" t="s">
        <v>848</v>
      </c>
      <c r="G169" s="214" t="s">
        <v>122</v>
      </c>
      <c r="H169" s="214" t="s">
        <v>123</v>
      </c>
      <c r="I169" s="215" t="s">
        <v>124</v>
      </c>
    </row>
    <row r="170" spans="2:10">
      <c r="B170" s="685" t="s">
        <v>116</v>
      </c>
      <c r="C170" s="686">
        <v>437</v>
      </c>
      <c r="D170" s="686">
        <v>0</v>
      </c>
      <c r="E170" s="686">
        <v>56</v>
      </c>
      <c r="F170" s="686">
        <v>13</v>
      </c>
      <c r="G170" s="686">
        <v>12</v>
      </c>
      <c r="H170" s="686">
        <v>25</v>
      </c>
      <c r="I170" s="687">
        <v>533</v>
      </c>
    </row>
    <row r="171" spans="2:10">
      <c r="B171" s="685" t="s">
        <v>115</v>
      </c>
      <c r="C171" s="686">
        <v>238</v>
      </c>
      <c r="D171" s="686">
        <v>17</v>
      </c>
      <c r="E171" s="686">
        <v>41</v>
      </c>
      <c r="F171" s="686">
        <v>3</v>
      </c>
      <c r="G171" s="686">
        <v>59</v>
      </c>
      <c r="H171" s="686">
        <v>8</v>
      </c>
      <c r="I171" s="687">
        <v>375</v>
      </c>
    </row>
    <row r="172" spans="2:10">
      <c r="B172" s="685" t="s">
        <v>117</v>
      </c>
      <c r="C172" s="686">
        <v>82</v>
      </c>
      <c r="D172" s="686">
        <v>4</v>
      </c>
      <c r="E172" s="686">
        <v>11</v>
      </c>
      <c r="F172" s="686">
        <v>7</v>
      </c>
      <c r="G172" s="686">
        <v>12</v>
      </c>
      <c r="H172" s="686">
        <v>8</v>
      </c>
      <c r="I172" s="687">
        <v>122</v>
      </c>
    </row>
    <row r="173" spans="2:10">
      <c r="B173" s="685" t="s">
        <v>119</v>
      </c>
      <c r="C173" s="686">
        <v>58</v>
      </c>
      <c r="D173" s="686">
        <v>0</v>
      </c>
      <c r="E173" s="686">
        <v>9</v>
      </c>
      <c r="F173" s="686">
        <v>6</v>
      </c>
      <c r="G173" s="686">
        <v>18</v>
      </c>
      <c r="H173" s="686">
        <v>0</v>
      </c>
      <c r="I173" s="687">
        <v>90</v>
      </c>
    </row>
    <row r="174" spans="2:10">
      <c r="B174" s="685" t="s">
        <v>97</v>
      </c>
      <c r="C174" s="686">
        <v>42</v>
      </c>
      <c r="D174" s="686">
        <v>4</v>
      </c>
      <c r="E174" s="686">
        <v>0</v>
      </c>
      <c r="F174" s="686">
        <v>0</v>
      </c>
      <c r="G174" s="686">
        <v>7</v>
      </c>
      <c r="H174" s="686">
        <v>0</v>
      </c>
      <c r="I174" s="687">
        <v>54</v>
      </c>
    </row>
    <row r="175" spans="2:10">
      <c r="B175" s="685" t="s">
        <v>118</v>
      </c>
      <c r="C175" s="686">
        <v>42</v>
      </c>
      <c r="D175" s="686">
        <v>0</v>
      </c>
      <c r="E175" s="686">
        <v>0</v>
      </c>
      <c r="F175" s="686">
        <v>9</v>
      </c>
      <c r="G175" s="686">
        <v>0</v>
      </c>
      <c r="H175" s="686">
        <v>0</v>
      </c>
      <c r="I175" s="687">
        <v>50</v>
      </c>
    </row>
    <row r="176" spans="2:10">
      <c r="B176" s="685" t="s">
        <v>98</v>
      </c>
      <c r="C176" s="686">
        <v>9</v>
      </c>
      <c r="D176" s="686">
        <v>0</v>
      </c>
      <c r="E176" s="686">
        <v>0</v>
      </c>
      <c r="F176" s="686">
        <v>0</v>
      </c>
      <c r="G176" s="686">
        <v>0</v>
      </c>
      <c r="H176" s="686">
        <v>3</v>
      </c>
      <c r="I176" s="687">
        <v>18</v>
      </c>
    </row>
    <row r="177" spans="2:9">
      <c r="B177" s="685" t="s">
        <v>111</v>
      </c>
      <c r="C177" s="686">
        <v>0</v>
      </c>
      <c r="D177" s="686">
        <v>3</v>
      </c>
      <c r="E177" s="686">
        <v>4</v>
      </c>
      <c r="F177" s="686">
        <v>5</v>
      </c>
      <c r="G177" s="686">
        <v>8</v>
      </c>
      <c r="H177" s="686">
        <v>0</v>
      </c>
      <c r="I177" s="687">
        <v>15</v>
      </c>
    </row>
    <row r="178" spans="2:9">
      <c r="B178" s="685" t="s">
        <v>247</v>
      </c>
      <c r="C178" s="686">
        <v>0</v>
      </c>
      <c r="D178" s="686">
        <v>0</v>
      </c>
      <c r="E178" s="686">
        <v>0</v>
      </c>
      <c r="F178" s="686">
        <v>0</v>
      </c>
      <c r="G178" s="686">
        <v>10</v>
      </c>
      <c r="H178" s="686">
        <v>0</v>
      </c>
      <c r="I178" s="687">
        <v>9</v>
      </c>
    </row>
    <row r="179" spans="2:9">
      <c r="B179" s="688" t="s">
        <v>248</v>
      </c>
      <c r="C179" s="689">
        <v>0</v>
      </c>
      <c r="D179" s="689">
        <v>0</v>
      </c>
      <c r="E179" s="689">
        <v>3</v>
      </c>
      <c r="F179" s="689">
        <v>0</v>
      </c>
      <c r="G179" s="689">
        <v>0</v>
      </c>
      <c r="H179" s="689">
        <v>0</v>
      </c>
      <c r="I179" s="690">
        <v>3</v>
      </c>
    </row>
    <row r="180" spans="2:9">
      <c r="B180" s="389" t="s">
        <v>878</v>
      </c>
    </row>
    <row r="182" spans="2:9" ht="23.25">
      <c r="B182" s="127" t="s">
        <v>692</v>
      </c>
    </row>
    <row r="183" spans="2:9" ht="15.75">
      <c r="B183" s="150" t="s">
        <v>62</v>
      </c>
    </row>
    <row r="184" spans="2:9" ht="25.5">
      <c r="B184" s="173" t="s">
        <v>64</v>
      </c>
      <c r="C184" s="222" t="s">
        <v>37</v>
      </c>
      <c r="D184" s="222" t="s">
        <v>38</v>
      </c>
      <c r="E184" s="222" t="s">
        <v>6</v>
      </c>
      <c r="F184" s="222" t="s">
        <v>1</v>
      </c>
      <c r="G184" s="223" t="s">
        <v>7</v>
      </c>
      <c r="H184" s="222" t="s">
        <v>65</v>
      </c>
      <c r="I184" s="222" t="s">
        <v>8</v>
      </c>
    </row>
    <row r="185" spans="2:9">
      <c r="B185" s="645" t="s">
        <v>149</v>
      </c>
      <c r="C185" s="103">
        <v>272</v>
      </c>
      <c r="D185" s="103">
        <v>197</v>
      </c>
      <c r="E185" s="103">
        <v>468</v>
      </c>
      <c r="F185" s="224">
        <f>IFERROR(Table79222681124152627[[#This Row],[Persons]]/$C$15,"..")</f>
        <v>0.3550834597875569</v>
      </c>
      <c r="G185" s="228">
        <v>314</v>
      </c>
      <c r="H185" s="103">
        <f>IFERROR(Table79222681124152627[[#This Row],[Persons]]-Table79222681124152627[[#This Row],[2011 Census]],"..")</f>
        <v>154</v>
      </c>
      <c r="I185" s="691">
        <f>IFERROR((Table79222681124152627[[#This Row],[Persons]]-Table79222681124152627[[#This Row],[2011 Census]])/Table79222681124152627[[#This Row],[2011 Census]],"..")</f>
        <v>0.49044585987261147</v>
      </c>
    </row>
    <row r="186" spans="2:9">
      <c r="B186" s="646" t="s">
        <v>150</v>
      </c>
      <c r="C186" s="106">
        <v>97</v>
      </c>
      <c r="D186" s="106">
        <v>102</v>
      </c>
      <c r="E186" s="106">
        <v>193</v>
      </c>
      <c r="F186" s="226">
        <f>IFERROR(Table79222681124152627[[#This Row],[Persons]]/$C$15,"..")</f>
        <v>0.14643399089529591</v>
      </c>
      <c r="G186" s="227">
        <v>213</v>
      </c>
      <c r="H186" s="106">
        <f>IFERROR(Table79222681124152627[[#This Row],[Persons]]-Table79222681124152627[[#This Row],[2011 Census]],"..")</f>
        <v>-20</v>
      </c>
      <c r="I186" s="692">
        <f>IFERROR((Table79222681124152627[[#This Row],[Persons]]-Table79222681124152627[[#This Row],[2011 Census]])/Table79222681124152627[[#This Row],[2011 Census]],"..")</f>
        <v>-9.3896713615023469E-2</v>
      </c>
    </row>
    <row r="187" spans="2:9">
      <c r="B187" s="645" t="s">
        <v>151</v>
      </c>
      <c r="C187" s="103">
        <v>72</v>
      </c>
      <c r="D187" s="103">
        <v>84</v>
      </c>
      <c r="E187" s="103">
        <v>153</v>
      </c>
      <c r="F187" s="224">
        <f>IFERROR(Table79222681124152627[[#This Row],[Persons]]/$C$15,"..")</f>
        <v>0.11608497723823975</v>
      </c>
      <c r="G187" s="228">
        <v>147</v>
      </c>
      <c r="H187" s="103">
        <f>IFERROR(Table79222681124152627[[#This Row],[Persons]]-Table79222681124152627[[#This Row],[2011 Census]],"..")</f>
        <v>6</v>
      </c>
      <c r="I187" s="691">
        <f>IFERROR((Table79222681124152627[[#This Row],[Persons]]-Table79222681124152627[[#This Row],[2011 Census]])/Table79222681124152627[[#This Row],[2011 Census]],"..")</f>
        <v>4.0816326530612242E-2</v>
      </c>
    </row>
    <row r="188" spans="2:9">
      <c r="B188" s="646" t="s">
        <v>157</v>
      </c>
      <c r="C188" s="106">
        <v>16</v>
      </c>
      <c r="D188" s="106">
        <v>9</v>
      </c>
      <c r="E188" s="106">
        <v>30</v>
      </c>
      <c r="F188" s="226">
        <f>IFERROR(Table79222681124152627[[#This Row],[Persons]]/$C$15,"..")</f>
        <v>2.2761760242792108E-2</v>
      </c>
      <c r="G188" s="227">
        <v>38</v>
      </c>
      <c r="H188" s="106">
        <f>IFERROR(Table79222681124152627[[#This Row],[Persons]]-Table79222681124152627[[#This Row],[2011 Census]],"..")</f>
        <v>-8</v>
      </c>
      <c r="I188" s="692">
        <f>IFERROR((Table79222681124152627[[#This Row],[Persons]]-Table79222681124152627[[#This Row],[2011 Census]])/Table79222681124152627[[#This Row],[2011 Census]],"..")</f>
        <v>-0.21052631578947367</v>
      </c>
    </row>
    <row r="189" spans="2:9">
      <c r="B189" s="645" t="s">
        <v>153</v>
      </c>
      <c r="C189" s="103">
        <v>15</v>
      </c>
      <c r="D189" s="103">
        <v>12</v>
      </c>
      <c r="E189" s="103">
        <v>30</v>
      </c>
      <c r="F189" s="224">
        <f>IFERROR(Table79222681124152627[[#This Row],[Persons]]/$C$15,"..")</f>
        <v>2.2761760242792108E-2</v>
      </c>
      <c r="G189" s="228">
        <v>49</v>
      </c>
      <c r="H189" s="103">
        <f>IFERROR(Table79222681124152627[[#This Row],[Persons]]-Table79222681124152627[[#This Row],[2011 Census]],"..")</f>
        <v>-19</v>
      </c>
      <c r="I189" s="691">
        <f>IFERROR((Table79222681124152627[[#This Row],[Persons]]-Table79222681124152627[[#This Row],[2011 Census]])/Table79222681124152627[[#This Row],[2011 Census]],"..")</f>
        <v>-0.38775510204081631</v>
      </c>
    </row>
    <row r="190" spans="2:9">
      <c r="B190" s="646" t="s">
        <v>164</v>
      </c>
      <c r="C190" s="106">
        <v>11</v>
      </c>
      <c r="D190" s="106">
        <v>13</v>
      </c>
      <c r="E190" s="106">
        <v>23</v>
      </c>
      <c r="F190" s="226">
        <f>IFERROR(Table79222681124152627[[#This Row],[Persons]]/$C$15,"..")</f>
        <v>1.7450682852807285E-2</v>
      </c>
      <c r="G190" s="693">
        <v>0</v>
      </c>
      <c r="H190" s="106">
        <f>IFERROR(Table79222681124152627[[#This Row],[Persons]]-Table79222681124152627[[#This Row],[2011 Census]],"..")</f>
        <v>23</v>
      </c>
      <c r="I190" s="692" t="str">
        <f>IFERROR((Table79222681124152627[[#This Row],[Persons]]-Table79222681124152627[[#This Row],[2011 Census]])/Table79222681124152627[[#This Row],[2011 Census]],"..")</f>
        <v>..</v>
      </c>
    </row>
    <row r="191" spans="2:9">
      <c r="B191" s="645" t="s">
        <v>156</v>
      </c>
      <c r="C191" s="103">
        <v>9</v>
      </c>
      <c r="D191" s="103">
        <v>11</v>
      </c>
      <c r="E191" s="103">
        <v>15</v>
      </c>
      <c r="F191" s="224">
        <f>IFERROR(Table79222681124152627[[#This Row],[Persons]]/$C$15,"..")</f>
        <v>1.1380880121396054E-2</v>
      </c>
      <c r="G191" s="228">
        <v>17</v>
      </c>
      <c r="H191" s="103">
        <f>IFERROR(Table79222681124152627[[#This Row],[Persons]]-Table79222681124152627[[#This Row],[2011 Census]],"..")</f>
        <v>-2</v>
      </c>
      <c r="I191" s="691">
        <f>IFERROR((Table79222681124152627[[#This Row],[Persons]]-Table79222681124152627[[#This Row],[2011 Census]])/Table79222681124152627[[#This Row],[2011 Census]],"..")</f>
        <v>-0.11764705882352941</v>
      </c>
    </row>
    <row r="192" spans="2:9">
      <c r="B192" s="646" t="s">
        <v>94</v>
      </c>
      <c r="C192" s="106" t="s">
        <v>94</v>
      </c>
      <c r="D192" s="106" t="s">
        <v>94</v>
      </c>
      <c r="E192" s="106" t="s">
        <v>94</v>
      </c>
      <c r="F192" s="226" t="str">
        <f>IFERROR(Table79222681124152627[[#This Row],[Persons]]/$C$15,"..")</f>
        <v>..</v>
      </c>
      <c r="G192" s="227" t="s">
        <v>94</v>
      </c>
      <c r="H192" s="106" t="str">
        <f>IFERROR(Table79222681124152627[[#This Row],[Persons]]-Table79222681124152627[[#This Row],[2011 Census]],"..")</f>
        <v>..</v>
      </c>
      <c r="I192" s="54" t="str">
        <f>IFERROR((Table79222681124152627[[#This Row],[Persons]]-Table79222681124152627[[#This Row],[2011 Census]])/Table79222681124152627[[#This Row],[2011 Census]],"..")</f>
        <v>..</v>
      </c>
    </row>
    <row r="193" spans="2:9">
      <c r="B193" s="645" t="s">
        <v>94</v>
      </c>
      <c r="C193" s="103" t="s">
        <v>94</v>
      </c>
      <c r="D193" s="103" t="s">
        <v>94</v>
      </c>
      <c r="E193" s="103" t="s">
        <v>94</v>
      </c>
      <c r="F193" s="224" t="str">
        <f>IFERROR(Table79222681124152627[[#This Row],[Persons]]/$C$15,"..")</f>
        <v>..</v>
      </c>
      <c r="G193" s="228" t="s">
        <v>94</v>
      </c>
      <c r="H193" s="103" t="str">
        <f>IFERROR(Table79222681124152627[[#This Row],[Persons]]-Table79222681124152627[[#This Row],[2011 Census]],"..")</f>
        <v>..</v>
      </c>
      <c r="I193" s="64" t="str">
        <f>IFERROR((Table79222681124152627[[#This Row],[Persons]]-Table79222681124152627[[#This Row],[2011 Census]])/Table79222681124152627[[#This Row],[2011 Census]],"..")</f>
        <v>..</v>
      </c>
    </row>
    <row r="194" spans="2:9">
      <c r="B194" s="646" t="s">
        <v>94</v>
      </c>
      <c r="C194" s="106" t="s">
        <v>94</v>
      </c>
      <c r="D194" s="106" t="s">
        <v>94</v>
      </c>
      <c r="E194" s="106" t="s">
        <v>94</v>
      </c>
      <c r="F194" s="226" t="str">
        <f>IFERROR(Table79222681124152627[[#This Row],[Persons]]/$C$15,"..")</f>
        <v>..</v>
      </c>
      <c r="G194" s="227" t="s">
        <v>94</v>
      </c>
      <c r="H194" s="106" t="str">
        <f>IFERROR(Table79222681124152627[[#This Row],[Persons]]-Table79222681124152627[[#This Row],[2011 Census]],"..")</f>
        <v>..</v>
      </c>
      <c r="I194" s="54" t="str">
        <f>IFERROR((Table79222681124152627[[#This Row],[Persons]]-Table79222681124152627[[#This Row],[2011 Census]])/Table79222681124152627[[#This Row],[2011 Census]],"..")</f>
        <v>..</v>
      </c>
    </row>
    <row r="195" spans="2:9">
      <c r="B195" s="645" t="s">
        <v>94</v>
      </c>
      <c r="C195" s="103" t="s">
        <v>94</v>
      </c>
      <c r="D195" s="103" t="s">
        <v>94</v>
      </c>
      <c r="E195" s="103" t="s">
        <v>94</v>
      </c>
      <c r="F195" s="224" t="str">
        <f>IFERROR(Table79222681124152627[[#This Row],[Persons]]/$C$15,"..")</f>
        <v>..</v>
      </c>
      <c r="G195" s="228" t="s">
        <v>94</v>
      </c>
      <c r="H195" s="103" t="str">
        <f>IFERROR(Table79222681124152627[[#This Row],[Persons]]-Table79222681124152627[[#This Row],[2011 Census]],"..")</f>
        <v>..</v>
      </c>
      <c r="I195" s="64" t="str">
        <f>IFERROR((Table79222681124152627[[#This Row],[Persons]]-Table79222681124152627[[#This Row],[2011 Census]])/Table79222681124152627[[#This Row],[2011 Census]],"..")</f>
        <v>..</v>
      </c>
    </row>
    <row r="196" spans="2:9">
      <c r="B196" s="646" t="s">
        <v>94</v>
      </c>
      <c r="C196" s="106" t="s">
        <v>94</v>
      </c>
      <c r="D196" s="106" t="s">
        <v>94</v>
      </c>
      <c r="E196" s="106" t="s">
        <v>94</v>
      </c>
      <c r="F196" s="226" t="str">
        <f>IFERROR(Table79222681124152627[[#This Row],[Persons]]/$C$15,"..")</f>
        <v>..</v>
      </c>
      <c r="G196" s="227" t="s">
        <v>94</v>
      </c>
      <c r="H196" s="106" t="str">
        <f>IFERROR(Table79222681124152627[[#This Row],[Persons]]-Table79222681124152627[[#This Row],[2011 Census]],"..")</f>
        <v>..</v>
      </c>
      <c r="I196" s="54" t="str">
        <f>IFERROR((Table79222681124152627[[#This Row],[Persons]]-Table79222681124152627[[#This Row],[2011 Census]])/Table79222681124152627[[#This Row],[2011 Census]],"..")</f>
        <v>..</v>
      </c>
    </row>
    <row r="197" spans="2:9">
      <c r="B197" s="645" t="s">
        <v>94</v>
      </c>
      <c r="C197" s="103" t="s">
        <v>94</v>
      </c>
      <c r="D197" s="103" t="s">
        <v>94</v>
      </c>
      <c r="E197" s="103" t="s">
        <v>94</v>
      </c>
      <c r="F197" s="224" t="str">
        <f>IFERROR(Table79222681124152627[[#This Row],[Persons]]/$C$15,"..")</f>
        <v>..</v>
      </c>
      <c r="G197" s="228" t="s">
        <v>94</v>
      </c>
      <c r="H197" s="103" t="str">
        <f>IFERROR(Table79222681124152627[[#This Row],[Persons]]-Table79222681124152627[[#This Row],[2011 Census]],"..")</f>
        <v>..</v>
      </c>
      <c r="I197" s="64" t="str">
        <f>IFERROR((Table79222681124152627[[#This Row],[Persons]]-Table79222681124152627[[#This Row],[2011 Census]])/Table79222681124152627[[#This Row],[2011 Census]],"..")</f>
        <v>..</v>
      </c>
    </row>
    <row r="198" spans="2:9">
      <c r="B198" s="646" t="s">
        <v>94</v>
      </c>
      <c r="C198" s="106" t="s">
        <v>94</v>
      </c>
      <c r="D198" s="106" t="s">
        <v>94</v>
      </c>
      <c r="E198" s="106" t="s">
        <v>94</v>
      </c>
      <c r="F198" s="226" t="str">
        <f>IFERROR(Table79222681124152627[[#This Row],[Persons]]/$C$15,"..")</f>
        <v>..</v>
      </c>
      <c r="G198" s="227" t="s">
        <v>94</v>
      </c>
      <c r="H198" s="106" t="str">
        <f>IFERROR(Table79222681124152627[[#This Row],[Persons]]-Table79222681124152627[[#This Row],[2011 Census]],"..")</f>
        <v>..</v>
      </c>
      <c r="I198" s="54" t="str">
        <f>IFERROR((Table79222681124152627[[#This Row],[Persons]]-Table79222681124152627[[#This Row],[2011 Census]])/Table79222681124152627[[#This Row],[2011 Census]],"..")</f>
        <v>..</v>
      </c>
    </row>
    <row r="199" spans="2:9">
      <c r="B199" s="645" t="s">
        <v>94</v>
      </c>
      <c r="C199" s="103" t="s">
        <v>94</v>
      </c>
      <c r="D199" s="103" t="s">
        <v>94</v>
      </c>
      <c r="E199" s="103" t="s">
        <v>94</v>
      </c>
      <c r="F199" s="224" t="str">
        <f>IFERROR(Table79222681124152627[[#This Row],[Persons]]/$C$15,"..")</f>
        <v>..</v>
      </c>
      <c r="G199" s="228" t="s">
        <v>94</v>
      </c>
      <c r="H199" s="103" t="str">
        <f>IFERROR(Table79222681124152627[[#This Row],[Persons]]-Table79222681124152627[[#This Row],[2011 Census]],"..")</f>
        <v>..</v>
      </c>
      <c r="I199" s="64" t="str">
        <f>IFERROR((Table79222681124152627[[#This Row],[Persons]]-Table79222681124152627[[#This Row],[2011 Census]])/Table79222681124152627[[#This Row],[2011 Census]],"..")</f>
        <v>..</v>
      </c>
    </row>
    <row r="200" spans="2:9">
      <c r="B200" s="646" t="s">
        <v>94</v>
      </c>
      <c r="C200" s="106" t="s">
        <v>94</v>
      </c>
      <c r="D200" s="106" t="s">
        <v>94</v>
      </c>
      <c r="E200" s="106" t="s">
        <v>94</v>
      </c>
      <c r="F200" s="226" t="str">
        <f>IFERROR(Table79222681124152627[[#This Row],[Persons]]/$C$15,"..")</f>
        <v>..</v>
      </c>
      <c r="G200" s="227" t="s">
        <v>94</v>
      </c>
      <c r="H200" s="106" t="str">
        <f>IFERROR(Table79222681124152627[[#This Row],[Persons]]-Table79222681124152627[[#This Row],[2011 Census]],"..")</f>
        <v>..</v>
      </c>
      <c r="I200" s="54" t="str">
        <f>IFERROR((Table79222681124152627[[#This Row],[Persons]]-Table79222681124152627[[#This Row],[2011 Census]])/Table79222681124152627[[#This Row],[2011 Census]],"..")</f>
        <v>..</v>
      </c>
    </row>
    <row r="201" spans="2:9">
      <c r="B201" s="645" t="s">
        <v>94</v>
      </c>
      <c r="C201" s="103" t="s">
        <v>94</v>
      </c>
      <c r="D201" s="103" t="s">
        <v>94</v>
      </c>
      <c r="E201" s="103" t="s">
        <v>94</v>
      </c>
      <c r="F201" s="224" t="str">
        <f>IFERROR(Table79222681124152627[[#This Row],[Persons]]/$C$15,"..")</f>
        <v>..</v>
      </c>
      <c r="G201" s="228" t="s">
        <v>94</v>
      </c>
      <c r="H201" s="103" t="str">
        <f>IFERROR(Table79222681124152627[[#This Row],[Persons]]-Table79222681124152627[[#This Row],[2011 Census]],"..")</f>
        <v>..</v>
      </c>
      <c r="I201" s="64" t="str">
        <f>IFERROR((Table79222681124152627[[#This Row],[Persons]]-Table79222681124152627[[#This Row],[2011 Census]])/Table79222681124152627[[#This Row],[2011 Census]],"..")</f>
        <v>..</v>
      </c>
    </row>
    <row r="202" spans="2:9">
      <c r="B202" s="646" t="s">
        <v>94</v>
      </c>
      <c r="C202" s="106" t="s">
        <v>94</v>
      </c>
      <c r="D202" s="106" t="s">
        <v>94</v>
      </c>
      <c r="E202" s="106" t="s">
        <v>94</v>
      </c>
      <c r="F202" s="226" t="str">
        <f>IFERROR(Table79222681124152627[[#This Row],[Persons]]/$C$15,"..")</f>
        <v>..</v>
      </c>
      <c r="G202" s="227" t="s">
        <v>94</v>
      </c>
      <c r="H202" s="106" t="str">
        <f>IFERROR(Table79222681124152627[[#This Row],[Persons]]-Table79222681124152627[[#This Row],[2011 Census]],"..")</f>
        <v>..</v>
      </c>
      <c r="I202" s="54" t="str">
        <f>IFERROR((Table79222681124152627[[#This Row],[Persons]]-Table79222681124152627[[#This Row],[2011 Census]])/Table79222681124152627[[#This Row],[2011 Census]],"..")</f>
        <v>..</v>
      </c>
    </row>
    <row r="203" spans="2:9">
      <c r="B203" s="645" t="s">
        <v>94</v>
      </c>
      <c r="C203" s="103" t="s">
        <v>94</v>
      </c>
      <c r="D203" s="103" t="s">
        <v>94</v>
      </c>
      <c r="E203" s="103" t="s">
        <v>94</v>
      </c>
      <c r="F203" s="226" t="str">
        <f>IFERROR(Table79222681124152627[[#This Row],[Persons]]/$C$15,"..")</f>
        <v>..</v>
      </c>
      <c r="G203" s="228" t="s">
        <v>94</v>
      </c>
      <c r="H203" s="103" t="str">
        <f>IFERROR(Table79222681124152627[[#This Row],[Persons]]-Table79222681124152627[[#This Row],[2011 Census]],"..")</f>
        <v>..</v>
      </c>
      <c r="I203" s="54" t="str">
        <f>IFERROR((Table79222681124152627[[#This Row],[Persons]]-Table79222681124152627[[#This Row],[2011 Census]])/Table79222681124152627[[#This Row],[2011 Census]],"..")</f>
        <v>..</v>
      </c>
    </row>
    <row r="204" spans="2:9">
      <c r="B204" s="646" t="s">
        <v>94</v>
      </c>
      <c r="C204" s="106" t="s">
        <v>94</v>
      </c>
      <c r="D204" s="106" t="s">
        <v>94</v>
      </c>
      <c r="E204" s="106" t="s">
        <v>94</v>
      </c>
      <c r="F204" s="226" t="str">
        <f>IFERROR(Table79222681124152627[[#This Row],[Persons]]/$C$15,"..")</f>
        <v>..</v>
      </c>
      <c r="G204" s="227" t="s">
        <v>94</v>
      </c>
      <c r="H204" s="106" t="str">
        <f>IFERROR(Table79222681124152627[[#This Row],[Persons]]-Table79222681124152627[[#This Row],[2011 Census]],"..")</f>
        <v>..</v>
      </c>
      <c r="I204" s="54" t="str">
        <f>IFERROR((Table79222681124152627[[#This Row],[Persons]]-Table79222681124152627[[#This Row],[2011 Census]])/Table79222681124152627[[#This Row],[2011 Census]],"..")</f>
        <v>..</v>
      </c>
    </row>
    <row r="205" spans="2:9">
      <c r="B205" s="158" t="s">
        <v>71</v>
      </c>
      <c r="C205" s="103">
        <v>11</v>
      </c>
      <c r="D205" s="103">
        <v>21</v>
      </c>
      <c r="E205" s="103">
        <v>32</v>
      </c>
      <c r="F205" s="226">
        <f>IFERROR(Table79222681124152627[[#This Row],[Persons]]/$C$15,"..")</f>
        <v>2.4279210925644917E-2</v>
      </c>
      <c r="G205" s="227"/>
      <c r="H205" s="103">
        <f>IFERROR(Table79222681124152627[[#This Row],[Persons]]-Table79222681124152627[[#This Row],[2011 Census]],"..")</f>
        <v>32</v>
      </c>
      <c r="I205" s="54" t="str">
        <f>IFERROR((Table79222681124152627[[#This Row],[Persons]]-Table79222681124152627[[#This Row],[2011 Census]])/Table79222681124152627[[#This Row],[2011 Census]],"..")</f>
        <v>..</v>
      </c>
    </row>
    <row r="206" spans="2:9">
      <c r="B206" s="158" t="s">
        <v>58</v>
      </c>
      <c r="C206" s="106">
        <v>166</v>
      </c>
      <c r="D206" s="106">
        <v>145</v>
      </c>
      <c r="E206" s="106">
        <v>311</v>
      </c>
      <c r="F206" s="226">
        <f>IFERROR(Table79222681124152627[[#This Row],[Persons]]/$C$15,"..")</f>
        <v>0.23596358118361152</v>
      </c>
      <c r="G206" s="227">
        <v>235</v>
      </c>
      <c r="H206" s="106">
        <f>IFERROR(Table79222681124152627[[#This Row],[Persons]]-Table79222681124152627[[#This Row],[2011 Census]],"..")</f>
        <v>76</v>
      </c>
      <c r="I206" s="54">
        <f>IFERROR((Table79222681124152627[[#This Row],[Persons]]-Table79222681124152627[[#This Row],[2011 Census]])/Table79222681124152627[[#This Row],[2011 Census]],"..")</f>
        <v>0.32340425531914896</v>
      </c>
    </row>
    <row r="207" spans="2:9" ht="15.75">
      <c r="B207" s="115" t="s">
        <v>72</v>
      </c>
      <c r="C207" s="229" t="s">
        <v>609</v>
      </c>
      <c r="D207" s="229" t="s">
        <v>610</v>
      </c>
      <c r="E207" s="116">
        <f>C15</f>
        <v>1318</v>
      </c>
      <c r="F207" s="230" t="s">
        <v>22</v>
      </c>
      <c r="G207" s="116">
        <f>E15</f>
        <v>1104</v>
      </c>
      <c r="H207" s="229">
        <f>Table79222681124152627[[#Totals],[Persons]]-Table79222681124152627[[#Totals],[2011 Census]]</f>
        <v>214</v>
      </c>
      <c r="I207" s="694">
        <f>Table79222681124152627[[#Totals],[Change 2011-2016]]</f>
        <v>214</v>
      </c>
    </row>
    <row r="208" spans="2:9" ht="15.75">
      <c r="B208" s="114"/>
      <c r="C208" s="114"/>
      <c r="D208" s="114"/>
      <c r="E208" s="114"/>
      <c r="F208" s="114"/>
      <c r="G208" s="114"/>
      <c r="H208" s="114"/>
      <c r="I208" s="114"/>
    </row>
    <row r="209" spans="2:10" ht="23.25">
      <c r="B209" s="127" t="s">
        <v>693</v>
      </c>
    </row>
    <row r="210" spans="2:10" ht="15.75">
      <c r="B210" s="150" t="s">
        <v>827</v>
      </c>
    </row>
    <row r="211" spans="2:10" ht="25.5">
      <c r="B211" s="173" t="s">
        <v>64</v>
      </c>
      <c r="C211" s="222" t="s">
        <v>66</v>
      </c>
      <c r="D211" s="222" t="s">
        <v>67</v>
      </c>
      <c r="E211" s="222" t="s">
        <v>58</v>
      </c>
      <c r="F211" s="233" t="s">
        <v>68</v>
      </c>
      <c r="G211" s="233" t="s">
        <v>24</v>
      </c>
      <c r="H211" s="233" t="s">
        <v>25</v>
      </c>
      <c r="I211" s="233" t="s">
        <v>69</v>
      </c>
      <c r="J211" s="233" t="s">
        <v>27</v>
      </c>
    </row>
    <row r="212" spans="2:10">
      <c r="B212" s="155" t="s">
        <v>149</v>
      </c>
      <c r="C212" s="103">
        <v>403</v>
      </c>
      <c r="D212" s="103">
        <v>57</v>
      </c>
      <c r="E212" s="103">
        <v>17</v>
      </c>
      <c r="F212" s="234">
        <v>108</v>
      </c>
      <c r="G212" s="235">
        <v>59</v>
      </c>
      <c r="H212" s="235">
        <v>105</v>
      </c>
      <c r="I212" s="236">
        <v>140</v>
      </c>
      <c r="J212" s="235">
        <v>57</v>
      </c>
    </row>
    <row r="213" spans="2:10">
      <c r="B213" s="158" t="s">
        <v>150</v>
      </c>
      <c r="C213" s="106">
        <v>159</v>
      </c>
      <c r="D213" s="106">
        <v>30</v>
      </c>
      <c r="E213" s="106">
        <v>9</v>
      </c>
      <c r="F213" s="237">
        <v>22</v>
      </c>
      <c r="G213" s="238">
        <v>16</v>
      </c>
      <c r="H213" s="238">
        <v>41</v>
      </c>
      <c r="I213" s="239">
        <v>85</v>
      </c>
      <c r="J213" s="238">
        <v>32</v>
      </c>
    </row>
    <row r="214" spans="2:10">
      <c r="B214" s="155" t="s">
        <v>151</v>
      </c>
      <c r="C214" s="103">
        <v>116</v>
      </c>
      <c r="D214" s="103">
        <v>32</v>
      </c>
      <c r="E214" s="103">
        <v>6</v>
      </c>
      <c r="F214" s="240">
        <v>26</v>
      </c>
      <c r="G214" s="241">
        <v>8</v>
      </c>
      <c r="H214" s="241">
        <v>17</v>
      </c>
      <c r="I214" s="242">
        <v>54</v>
      </c>
      <c r="J214" s="241">
        <v>49</v>
      </c>
    </row>
    <row r="215" spans="2:10">
      <c r="B215" s="158" t="s">
        <v>157</v>
      </c>
      <c r="C215" s="106">
        <v>16</v>
      </c>
      <c r="D215" s="106">
        <v>10</v>
      </c>
      <c r="E215" s="106">
        <v>4</v>
      </c>
      <c r="F215" s="237">
        <v>0</v>
      </c>
      <c r="G215" s="238">
        <v>0</v>
      </c>
      <c r="H215" s="238">
        <v>0</v>
      </c>
      <c r="I215" s="239">
        <v>12</v>
      </c>
      <c r="J215" s="238">
        <v>17</v>
      </c>
    </row>
    <row r="216" spans="2:10">
      <c r="B216" s="155" t="s">
        <v>153</v>
      </c>
      <c r="C216" s="103">
        <v>29</v>
      </c>
      <c r="D216" s="103">
        <v>0</v>
      </c>
      <c r="E216" s="103">
        <v>0</v>
      </c>
      <c r="F216" s="240">
        <v>0</v>
      </c>
      <c r="G216" s="241">
        <v>0</v>
      </c>
      <c r="H216" s="241">
        <v>0</v>
      </c>
      <c r="I216" s="242">
        <v>16</v>
      </c>
      <c r="J216" s="241">
        <v>12</v>
      </c>
    </row>
    <row r="217" spans="2:10">
      <c r="B217" s="158" t="s">
        <v>164</v>
      </c>
      <c r="C217" s="106">
        <v>23</v>
      </c>
      <c r="D217" s="106">
        <v>0</v>
      </c>
      <c r="E217" s="106">
        <v>0</v>
      </c>
      <c r="F217" s="237">
        <v>9</v>
      </c>
      <c r="G217" s="238">
        <v>8</v>
      </c>
      <c r="H217" s="238">
        <v>5</v>
      </c>
      <c r="I217" s="239">
        <v>6</v>
      </c>
      <c r="J217" s="238">
        <v>0</v>
      </c>
    </row>
    <row r="218" spans="2:10">
      <c r="B218" s="155" t="s">
        <v>156</v>
      </c>
      <c r="C218" s="103">
        <v>8</v>
      </c>
      <c r="D218" s="103">
        <v>10</v>
      </c>
      <c r="E218" s="103">
        <v>0</v>
      </c>
      <c r="F218" s="240">
        <v>0</v>
      </c>
      <c r="G218" s="241">
        <v>0</v>
      </c>
      <c r="H218" s="241">
        <v>3</v>
      </c>
      <c r="I218" s="242">
        <v>5</v>
      </c>
      <c r="J218" s="241">
        <v>4</v>
      </c>
    </row>
    <row r="219" spans="2:10">
      <c r="B219" s="158" t="s">
        <v>152</v>
      </c>
      <c r="C219" s="106">
        <v>3</v>
      </c>
      <c r="D219" s="106">
        <v>0</v>
      </c>
      <c r="E219" s="106">
        <v>0</v>
      </c>
      <c r="F219" s="237">
        <v>0</v>
      </c>
      <c r="G219" s="238">
        <v>0</v>
      </c>
      <c r="H219" s="238">
        <v>0</v>
      </c>
      <c r="I219" s="239">
        <v>0</v>
      </c>
      <c r="J219" s="238">
        <v>0</v>
      </c>
    </row>
    <row r="220" spans="2:10">
      <c r="B220" s="155" t="s">
        <v>163</v>
      </c>
      <c r="C220" s="103">
        <v>4</v>
      </c>
      <c r="D220" s="103">
        <v>3</v>
      </c>
      <c r="E220" s="103">
        <v>0</v>
      </c>
      <c r="F220" s="240">
        <v>0</v>
      </c>
      <c r="G220" s="241">
        <v>0</v>
      </c>
      <c r="H220" s="241">
        <v>0</v>
      </c>
      <c r="I220" s="242">
        <v>0</v>
      </c>
      <c r="J220" s="241">
        <v>0</v>
      </c>
    </row>
    <row r="221" spans="2:10">
      <c r="B221" s="158" t="s">
        <v>162</v>
      </c>
      <c r="C221" s="106">
        <v>3</v>
      </c>
      <c r="D221" s="106">
        <v>3</v>
      </c>
      <c r="E221" s="106">
        <v>0</v>
      </c>
      <c r="F221" s="237">
        <v>3</v>
      </c>
      <c r="G221" s="238">
        <v>0</v>
      </c>
      <c r="H221" s="238">
        <v>0</v>
      </c>
      <c r="I221" s="239">
        <v>3</v>
      </c>
      <c r="J221" s="238">
        <v>0</v>
      </c>
    </row>
    <row r="222" spans="2:10">
      <c r="B222" s="155" t="s">
        <v>161</v>
      </c>
      <c r="C222" s="103">
        <v>0</v>
      </c>
      <c r="D222" s="103">
        <v>4</v>
      </c>
      <c r="E222" s="103">
        <v>0</v>
      </c>
      <c r="F222" s="240">
        <v>0</v>
      </c>
      <c r="G222" s="241">
        <v>0</v>
      </c>
      <c r="H222" s="241">
        <v>0</v>
      </c>
      <c r="I222" s="242">
        <v>3</v>
      </c>
      <c r="J222" s="241">
        <v>0</v>
      </c>
    </row>
    <row r="223" spans="2:10">
      <c r="B223" s="158" t="s">
        <v>155</v>
      </c>
      <c r="C223" s="106">
        <v>5</v>
      </c>
      <c r="D223" s="106">
        <v>0</v>
      </c>
      <c r="E223" s="106">
        <v>0</v>
      </c>
      <c r="F223" s="237">
        <v>0</v>
      </c>
      <c r="G223" s="238">
        <v>0</v>
      </c>
      <c r="H223" s="238">
        <v>0</v>
      </c>
      <c r="I223" s="239">
        <v>3</v>
      </c>
      <c r="J223" s="238">
        <v>0</v>
      </c>
    </row>
    <row r="224" spans="2:10">
      <c r="B224" s="155" t="s">
        <v>166</v>
      </c>
      <c r="C224" s="103">
        <v>3</v>
      </c>
      <c r="D224" s="103">
        <v>0</v>
      </c>
      <c r="E224" s="103">
        <v>0</v>
      </c>
      <c r="F224" s="240">
        <v>0</v>
      </c>
      <c r="G224" s="241">
        <v>0</v>
      </c>
      <c r="H224" s="241">
        <v>0</v>
      </c>
      <c r="I224" s="242">
        <v>0</v>
      </c>
      <c r="J224" s="241">
        <v>0</v>
      </c>
    </row>
    <row r="225" spans="2:11">
      <c r="B225" s="158" t="s">
        <v>165</v>
      </c>
      <c r="C225" s="106">
        <v>3</v>
      </c>
      <c r="D225" s="106">
        <v>0</v>
      </c>
      <c r="E225" s="106">
        <v>0</v>
      </c>
      <c r="F225" s="237">
        <v>0</v>
      </c>
      <c r="G225" s="238">
        <v>0</v>
      </c>
      <c r="H225" s="238">
        <v>3</v>
      </c>
      <c r="I225" s="239">
        <v>0</v>
      </c>
      <c r="J225" s="238">
        <v>0</v>
      </c>
    </row>
    <row r="226" spans="2:11">
      <c r="B226" s="155" t="s">
        <v>154</v>
      </c>
      <c r="C226" s="103">
        <v>0</v>
      </c>
      <c r="D226" s="103">
        <v>0</v>
      </c>
      <c r="E226" s="103">
        <v>0</v>
      </c>
      <c r="F226" s="240">
        <v>0</v>
      </c>
      <c r="G226" s="241">
        <v>0</v>
      </c>
      <c r="H226" s="241">
        <v>5</v>
      </c>
      <c r="I226" s="242">
        <v>0</v>
      </c>
      <c r="J226" s="241">
        <v>0</v>
      </c>
    </row>
    <row r="227" spans="2:11">
      <c r="B227" s="158" t="s">
        <v>168</v>
      </c>
      <c r="C227" s="106">
        <v>0</v>
      </c>
      <c r="D227" s="106">
        <v>0</v>
      </c>
      <c r="E227" s="106">
        <v>0</v>
      </c>
      <c r="F227" s="237">
        <v>0</v>
      </c>
      <c r="G227" s="238">
        <v>0</v>
      </c>
      <c r="H227" s="238">
        <v>0</v>
      </c>
      <c r="I227" s="239">
        <v>0</v>
      </c>
      <c r="J227" s="238">
        <v>0</v>
      </c>
    </row>
    <row r="228" spans="2:11">
      <c r="B228" s="155" t="s">
        <v>159</v>
      </c>
      <c r="C228" s="103">
        <v>0</v>
      </c>
      <c r="D228" s="103">
        <v>0</v>
      </c>
      <c r="E228" s="103">
        <v>0</v>
      </c>
      <c r="F228" s="240">
        <v>3</v>
      </c>
      <c r="G228" s="241">
        <v>0</v>
      </c>
      <c r="H228" s="241">
        <v>0</v>
      </c>
      <c r="I228" s="242">
        <v>0</v>
      </c>
      <c r="J228" s="241">
        <v>0</v>
      </c>
    </row>
    <row r="229" spans="2:11">
      <c r="B229" s="158" t="s">
        <v>167</v>
      </c>
      <c r="C229" s="106">
        <v>0</v>
      </c>
      <c r="D229" s="106">
        <v>0</v>
      </c>
      <c r="E229" s="106">
        <v>0</v>
      </c>
      <c r="F229" s="237">
        <v>0</v>
      </c>
      <c r="G229" s="238">
        <v>0</v>
      </c>
      <c r="H229" s="238">
        <v>0</v>
      </c>
      <c r="I229" s="239">
        <v>0</v>
      </c>
      <c r="J229" s="238">
        <v>0</v>
      </c>
    </row>
    <row r="230" spans="2:11">
      <c r="B230" s="155" t="s">
        <v>158</v>
      </c>
      <c r="C230" s="103">
        <v>0</v>
      </c>
      <c r="D230" s="103">
        <v>0</v>
      </c>
      <c r="E230" s="103">
        <v>0</v>
      </c>
      <c r="F230" s="240">
        <v>0</v>
      </c>
      <c r="G230" s="241">
        <v>0</v>
      </c>
      <c r="H230" s="241">
        <v>0</v>
      </c>
      <c r="I230" s="242">
        <v>0</v>
      </c>
      <c r="J230" s="241">
        <v>0</v>
      </c>
    </row>
    <row r="231" spans="2:11">
      <c r="B231" s="158" t="s">
        <v>160</v>
      </c>
      <c r="C231" s="106">
        <v>0</v>
      </c>
      <c r="D231" s="106">
        <v>0</v>
      </c>
      <c r="E231" s="106">
        <v>0</v>
      </c>
      <c r="F231" s="237">
        <v>0</v>
      </c>
      <c r="G231" s="238">
        <v>0</v>
      </c>
      <c r="H231" s="238">
        <v>0</v>
      </c>
      <c r="I231" s="239">
        <v>0</v>
      </c>
      <c r="J231" s="238">
        <v>0</v>
      </c>
    </row>
    <row r="232" spans="2:11">
      <c r="B232" s="158" t="s">
        <v>71</v>
      </c>
      <c r="C232" s="106">
        <v>22</v>
      </c>
      <c r="D232" s="106">
        <v>11</v>
      </c>
      <c r="E232" s="106">
        <v>0</v>
      </c>
      <c r="F232" s="237">
        <v>3</v>
      </c>
      <c r="G232" s="238">
        <v>4</v>
      </c>
      <c r="H232" s="238">
        <v>7</v>
      </c>
      <c r="I232" s="239">
        <v>19</v>
      </c>
      <c r="J232" s="238">
        <v>0</v>
      </c>
    </row>
    <row r="233" spans="2:11">
      <c r="B233" s="158" t="s">
        <v>58</v>
      </c>
      <c r="C233" s="106">
        <v>54</v>
      </c>
      <c r="D233" s="106">
        <v>11</v>
      </c>
      <c r="E233" s="106">
        <v>250</v>
      </c>
      <c r="F233" s="237">
        <v>58</v>
      </c>
      <c r="G233" s="238">
        <v>19</v>
      </c>
      <c r="H233" s="238">
        <v>60</v>
      </c>
      <c r="I233" s="239">
        <v>117</v>
      </c>
      <c r="J233" s="238">
        <v>54</v>
      </c>
    </row>
    <row r="234" spans="2:11" ht="15.75">
      <c r="B234" s="115" t="s">
        <v>72</v>
      </c>
      <c r="C234" s="116">
        <f>C16</f>
        <v>873</v>
      </c>
      <c r="D234" s="116">
        <f>C17</f>
        <v>159</v>
      </c>
      <c r="E234" s="116">
        <f>C18</f>
        <v>287</v>
      </c>
      <c r="F234" s="695" t="s">
        <v>286</v>
      </c>
      <c r="G234" s="696" t="s">
        <v>287</v>
      </c>
      <c r="H234" s="696" t="s">
        <v>288</v>
      </c>
      <c r="I234" s="696" t="s">
        <v>289</v>
      </c>
      <c r="J234" s="116" t="s">
        <v>290</v>
      </c>
    </row>
    <row r="235" spans="2:11">
      <c r="J235" s="180"/>
    </row>
    <row r="237" spans="2:11" ht="15.75">
      <c r="K237" s="285" t="s">
        <v>642</v>
      </c>
    </row>
    <row r="238" spans="2:11" ht="15.75">
      <c r="B238" s="499" t="s">
        <v>857</v>
      </c>
      <c r="C238" s="500"/>
      <c r="D238" s="500"/>
      <c r="E238" s="500"/>
      <c r="F238" s="500"/>
      <c r="G238" s="500"/>
      <c r="H238" s="500"/>
      <c r="I238" s="500"/>
      <c r="J238" s="501"/>
    </row>
    <row r="239" spans="2:11" ht="15.75">
      <c r="B239" s="502" t="s">
        <v>424</v>
      </c>
      <c r="C239" s="503"/>
      <c r="D239" s="503"/>
      <c r="E239" s="503"/>
      <c r="F239" s="503"/>
      <c r="G239" s="503"/>
      <c r="H239" s="503"/>
      <c r="I239" s="503"/>
      <c r="J239" s="504"/>
    </row>
    <row r="240" spans="2:11" ht="15.75">
      <c r="B240" s="505" t="s">
        <v>824</v>
      </c>
      <c r="C240" s="506"/>
      <c r="D240" s="506"/>
      <c r="E240" s="506"/>
      <c r="F240" s="506"/>
      <c r="G240" s="506"/>
      <c r="H240" s="506"/>
      <c r="I240" s="506"/>
      <c r="J240" s="507"/>
    </row>
  </sheetData>
  <sheetProtection algorithmName="SHA-512" hashValue="9oOPCRmakEZC+BGNOxUYdPTnytmvmzNdA5WJfNeazrB67rhs2UvGOuAhIAV/jTQEn5wEl5rAy3SkCcjdEJAX6w==" saltValue="cQfHjdW/yB/ccCMbNSo/Gg==" spinCount="100000" sheet="1" objects="1" scenarios="1"/>
  <mergeCells count="15">
    <mergeCell ref="J1:K1"/>
    <mergeCell ref="I30:J30"/>
    <mergeCell ref="I31:J31"/>
    <mergeCell ref="I32:J32"/>
    <mergeCell ref="I33:J33"/>
    <mergeCell ref="I34:J34"/>
    <mergeCell ref="I40:J40"/>
    <mergeCell ref="C168:F168"/>
    <mergeCell ref="I41:J41"/>
    <mergeCell ref="I42:J42"/>
    <mergeCell ref="I35:J35"/>
    <mergeCell ref="I36:J36"/>
    <mergeCell ref="I37:J37"/>
    <mergeCell ref="I38:J38"/>
    <mergeCell ref="I39:J39"/>
  </mergeCells>
  <hyperlinks>
    <hyperlink ref="J1:K1" location="'Index '!A1" display="Back to Index"/>
    <hyperlink ref="K237" location="'3.6 Coomalie'!K1" display="Back to top"/>
  </hyperlinks>
  <pageMargins left="0.35433070866141736" right="3.937007874015748E-2" top="0.51181102362204722" bottom="0.35433070866141736" header="0.11811023622047245" footer="0.11811023622047245"/>
  <pageSetup paperSize="9" scale="56" fitToHeight="10" orientation="portrait" horizontalDpi="300" verticalDpi="300" r:id="rId1"/>
  <headerFooter differentFirst="1" alignWithMargins="0">
    <oddHeader>&amp;L&amp;"Helvetica Bold,Bold"&amp;18&amp;K000000X LGA (Continued)</oddHeader>
  </headerFooter>
  <drawing r:id="rId2"/>
  <tableParts count="6">
    <tablePart r:id="rId3"/>
    <tablePart r:id="rId4"/>
    <tablePart r:id="rId5"/>
    <tablePart r:id="rId6"/>
    <tablePart r:id="rId7"/>
    <tablePart r:id="rId8"/>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0"/>
  <sheetViews>
    <sheetView showGridLines="0" topLeftCell="A193" workbookViewId="0"/>
  </sheetViews>
  <sheetFormatPr defaultColWidth="8.875" defaultRowHeight="15"/>
  <cols>
    <col min="1" max="1" width="5.125" style="698" customWidth="1"/>
    <col min="2" max="2" width="47.125" style="698" customWidth="1"/>
    <col min="3" max="9" width="10.875" style="698" customWidth="1"/>
    <col min="10" max="16384" width="8.875" style="698"/>
  </cols>
  <sheetData>
    <row r="1" spans="1:11" ht="18.75">
      <c r="A1" s="697"/>
      <c r="J1" s="1244" t="s">
        <v>359</v>
      </c>
      <c r="K1" s="1244"/>
    </row>
    <row r="2" spans="1:11" s="149" customFormat="1" ht="30">
      <c r="B2" s="333" t="s">
        <v>886</v>
      </c>
      <c r="C2" s="120"/>
      <c r="D2" s="120"/>
      <c r="E2" s="120"/>
      <c r="F2" s="120"/>
      <c r="G2" s="650"/>
      <c r="H2" s="650"/>
      <c r="I2" s="650"/>
      <c r="J2" s="650"/>
      <c r="K2" s="650"/>
    </row>
    <row r="3" spans="1:11" s="699" customFormat="1" ht="15.75">
      <c r="B3" s="700"/>
      <c r="C3" s="700"/>
      <c r="D3" s="700"/>
      <c r="E3" s="700"/>
      <c r="F3" s="700"/>
      <c r="G3" s="701"/>
      <c r="H3" s="701"/>
      <c r="I3" s="701"/>
      <c r="J3" s="701"/>
      <c r="K3" s="701"/>
    </row>
    <row r="4" spans="1:11" s="699" customFormat="1" ht="15.75">
      <c r="B4" s="700"/>
      <c r="C4" s="700"/>
      <c r="D4" s="700"/>
      <c r="E4" s="700"/>
      <c r="F4" s="700"/>
      <c r="G4" s="701"/>
      <c r="H4" s="701"/>
      <c r="I4" s="701"/>
      <c r="J4" s="701"/>
      <c r="K4" s="701"/>
    </row>
    <row r="5" spans="1:11" ht="15.75">
      <c r="B5" s="700"/>
      <c r="C5" s="700"/>
      <c r="D5" s="700"/>
      <c r="E5" s="702"/>
      <c r="F5" s="702"/>
      <c r="G5" s="328"/>
      <c r="H5" s="328"/>
      <c r="I5" s="328"/>
      <c r="J5" s="328"/>
      <c r="K5" s="328"/>
    </row>
    <row r="6" spans="1:11" ht="15.75">
      <c r="B6" s="703"/>
      <c r="C6" s="704"/>
      <c r="D6" s="700"/>
      <c r="E6" s="702"/>
      <c r="F6" s="702"/>
      <c r="G6" s="328"/>
      <c r="H6" s="328"/>
      <c r="I6" s="328"/>
      <c r="J6" s="328"/>
      <c r="K6" s="328"/>
    </row>
    <row r="7" spans="1:11" ht="15.75">
      <c r="B7" s="705"/>
      <c r="C7" s="704"/>
      <c r="D7" s="700"/>
      <c r="E7" s="702"/>
      <c r="F7" s="702"/>
      <c r="G7" s="328"/>
      <c r="H7" s="328"/>
      <c r="I7" s="328"/>
      <c r="J7" s="328"/>
      <c r="K7" s="328"/>
    </row>
    <row r="8" spans="1:11" ht="15.75">
      <c r="B8" s="705"/>
      <c r="C8" s="704"/>
      <c r="D8" s="700"/>
      <c r="E8" s="702"/>
      <c r="F8" s="702"/>
      <c r="G8" s="328"/>
      <c r="H8" s="328"/>
      <c r="I8" s="328"/>
      <c r="J8" s="328"/>
      <c r="K8" s="328"/>
    </row>
    <row r="9" spans="1:11" ht="15.75">
      <c r="B9" s="705"/>
      <c r="C9" s="704"/>
      <c r="D9" s="700"/>
      <c r="E9" s="702"/>
      <c r="F9" s="702"/>
      <c r="G9" s="328"/>
      <c r="H9" s="328"/>
      <c r="I9" s="328"/>
      <c r="J9" s="328"/>
      <c r="K9" s="328"/>
    </row>
    <row r="10" spans="1:11" ht="15.75">
      <c r="C10" s="328"/>
      <c r="D10" s="328"/>
      <c r="E10" s="328"/>
      <c r="F10" s="328"/>
      <c r="G10" s="328"/>
      <c r="H10" s="328"/>
      <c r="I10" s="328"/>
      <c r="J10" s="328"/>
      <c r="K10" s="328"/>
    </row>
    <row r="11" spans="1:11" ht="23.25">
      <c r="B11" s="127" t="s">
        <v>694</v>
      </c>
    </row>
    <row r="12" spans="1:11" ht="15.75">
      <c r="C12" s="328"/>
      <c r="D12" s="328"/>
      <c r="E12" s="328"/>
      <c r="F12" s="328"/>
      <c r="G12" s="328"/>
      <c r="H12" s="328"/>
      <c r="I12" s="328"/>
      <c r="J12" s="328"/>
      <c r="K12" s="328"/>
    </row>
    <row r="13" spans="1:11" ht="26.25">
      <c r="B13" s="706" t="s">
        <v>0</v>
      </c>
      <c r="C13" s="707" t="s">
        <v>6</v>
      </c>
      <c r="D13" s="707" t="s">
        <v>1</v>
      </c>
      <c r="E13" s="707" t="s">
        <v>7</v>
      </c>
      <c r="F13" s="707" t="s">
        <v>361</v>
      </c>
      <c r="G13" s="707" t="s">
        <v>8</v>
      </c>
      <c r="H13" s="703"/>
      <c r="I13" s="703"/>
      <c r="J13" s="708"/>
      <c r="K13" s="708"/>
    </row>
    <row r="14" spans="1:11" ht="15" customHeight="1">
      <c r="B14" s="709" t="s">
        <v>9</v>
      </c>
      <c r="C14" s="710">
        <v>78799</v>
      </c>
      <c r="D14" s="711">
        <v>1</v>
      </c>
      <c r="E14" s="710">
        <v>72928</v>
      </c>
      <c r="F14" s="712">
        <v>5871</v>
      </c>
      <c r="G14" s="711">
        <v>8.0504058797718298E-2</v>
      </c>
      <c r="H14" s="713"/>
      <c r="I14" s="714"/>
      <c r="J14" s="715"/>
      <c r="K14" s="715"/>
    </row>
    <row r="15" spans="1:11" ht="15" customHeight="1">
      <c r="B15" s="716" t="s">
        <v>2</v>
      </c>
      <c r="C15" s="717">
        <v>44950</v>
      </c>
      <c r="D15" s="718">
        <v>0.57043871115115674</v>
      </c>
      <c r="E15" s="717">
        <v>45440</v>
      </c>
      <c r="F15" s="719">
        <v>-490</v>
      </c>
      <c r="G15" s="718">
        <v>-1.0783450704225352E-2</v>
      </c>
      <c r="H15" s="713"/>
      <c r="I15" s="714"/>
      <c r="J15" s="715"/>
      <c r="K15" s="715"/>
    </row>
    <row r="16" spans="1:11" ht="15" customHeight="1">
      <c r="B16" s="716" t="s">
        <v>362</v>
      </c>
      <c r="C16" s="720">
        <v>24956</v>
      </c>
      <c r="D16" s="718">
        <v>0.31670452670719174</v>
      </c>
      <c r="E16" s="720">
        <v>19467</v>
      </c>
      <c r="F16" s="719">
        <v>5489</v>
      </c>
      <c r="G16" s="718">
        <v>0.281964349925515</v>
      </c>
      <c r="H16" s="713"/>
      <c r="I16" s="714"/>
    </row>
    <row r="17" spans="2:10" ht="15" customHeight="1">
      <c r="B17" s="716" t="s">
        <v>3</v>
      </c>
      <c r="C17" s="717">
        <v>8892</v>
      </c>
      <c r="D17" s="1224">
        <v>0.11284407162527443</v>
      </c>
      <c r="E17" s="717">
        <v>8025</v>
      </c>
      <c r="F17" s="719">
        <v>867</v>
      </c>
      <c r="G17" s="718">
        <v>0.1080373831775701</v>
      </c>
      <c r="H17" s="713"/>
      <c r="I17" s="714"/>
    </row>
    <row r="18" spans="2:10" ht="15" customHeight="1">
      <c r="B18" s="721" t="s">
        <v>4</v>
      </c>
      <c r="C18" s="717">
        <v>6303</v>
      </c>
      <c r="D18" s="718">
        <v>7.9988324724933058E-2</v>
      </c>
      <c r="E18" s="717">
        <v>5596</v>
      </c>
      <c r="F18" s="719">
        <v>707</v>
      </c>
      <c r="G18" s="718">
        <v>0.12634024303073624</v>
      </c>
      <c r="H18" s="713"/>
      <c r="I18" s="714"/>
    </row>
    <row r="19" spans="2:10" ht="15" customHeight="1">
      <c r="B19" s="946" t="s">
        <v>395</v>
      </c>
      <c r="C19" s="717">
        <v>18653</v>
      </c>
      <c r="D19" s="718">
        <v>0.23671620198225865</v>
      </c>
      <c r="E19" s="717">
        <v>13871</v>
      </c>
      <c r="F19" s="719">
        <v>4782</v>
      </c>
      <c r="G19" s="718">
        <v>0.34474803546968497</v>
      </c>
      <c r="H19" s="713"/>
      <c r="I19" s="714"/>
    </row>
    <row r="20" spans="2:10" ht="15" customHeight="1">
      <c r="B20" s="716" t="s">
        <v>11</v>
      </c>
      <c r="C20" s="717">
        <v>12694</v>
      </c>
      <c r="D20" s="718">
        <v>0.16109341489105192</v>
      </c>
      <c r="E20" s="717">
        <v>10453</v>
      </c>
      <c r="F20" s="719">
        <v>2241</v>
      </c>
      <c r="G20" s="718">
        <v>0.21438821390988233</v>
      </c>
      <c r="H20" s="713"/>
      <c r="I20" s="714"/>
    </row>
    <row r="21" spans="2:10" ht="15" customHeight="1">
      <c r="B21" s="716" t="s">
        <v>12</v>
      </c>
      <c r="C21" s="717">
        <v>5830</v>
      </c>
      <c r="D21" s="718">
        <v>7.3985710478559369E-2</v>
      </c>
      <c r="E21" s="717">
        <v>6155</v>
      </c>
      <c r="F21" s="719">
        <v>-325</v>
      </c>
      <c r="G21" s="718">
        <v>-5.2802599512591392E-2</v>
      </c>
      <c r="H21" s="713"/>
      <c r="I21" s="714"/>
    </row>
    <row r="22" spans="2:10" ht="15" customHeight="1">
      <c r="B22" s="716" t="s">
        <v>13</v>
      </c>
      <c r="C22" s="717">
        <v>21141</v>
      </c>
      <c r="D22" s="718">
        <v>0.26829020672851178</v>
      </c>
      <c r="E22" s="717">
        <v>15291</v>
      </c>
      <c r="F22" s="719">
        <v>5850</v>
      </c>
      <c r="G22" s="718">
        <v>0.3825779870512066</v>
      </c>
      <c r="H22" s="713"/>
      <c r="I22" s="714"/>
    </row>
    <row r="23" spans="2:10" ht="15" customHeight="1">
      <c r="B23" s="262" t="s">
        <v>869</v>
      </c>
      <c r="C23" s="719">
        <v>8556</v>
      </c>
      <c r="D23" s="718">
        <v>0.10858005812256501</v>
      </c>
      <c r="E23" s="722">
        <v>6481</v>
      </c>
      <c r="F23" s="719">
        <v>2075</v>
      </c>
      <c r="G23" s="718">
        <v>0.32016664095047059</v>
      </c>
      <c r="H23" s="713"/>
      <c r="I23" s="714"/>
    </row>
    <row r="24" spans="2:10" ht="15" customHeight="1">
      <c r="B24" s="262" t="s">
        <v>870</v>
      </c>
      <c r="C24" s="719">
        <v>6829</v>
      </c>
      <c r="D24" s="718">
        <v>8.6752369953933428E-2</v>
      </c>
      <c r="E24" s="722">
        <v>5097</v>
      </c>
      <c r="F24" s="719">
        <v>1739</v>
      </c>
      <c r="G24" s="718">
        <v>0.34118108691387089</v>
      </c>
      <c r="H24" s="713"/>
      <c r="I24" s="714"/>
    </row>
    <row r="25" spans="2:10" s="329" customFormat="1" ht="12.75">
      <c r="B25" s="349" t="s">
        <v>366</v>
      </c>
    </row>
    <row r="26" spans="2:10">
      <c r="B26" s="715"/>
      <c r="C26" s="715"/>
      <c r="D26" s="723"/>
      <c r="E26" s="723"/>
      <c r="F26" s="723"/>
      <c r="G26" s="723"/>
      <c r="H26" s="715"/>
      <c r="I26" s="715"/>
    </row>
    <row r="27" spans="2:10" ht="23.25">
      <c r="B27" s="127" t="s">
        <v>695</v>
      </c>
      <c r="C27" s="715"/>
      <c r="D27" s="724"/>
      <c r="E27" s="723"/>
      <c r="F27" s="723"/>
      <c r="G27" s="723"/>
      <c r="H27" s="715"/>
      <c r="I27" s="715"/>
    </row>
    <row r="28" spans="2:10" ht="15" customHeight="1">
      <c r="B28" s="725" t="s">
        <v>397</v>
      </c>
      <c r="C28" s="715"/>
      <c r="D28" s="723"/>
      <c r="E28" s="723"/>
      <c r="F28" s="723"/>
      <c r="G28" s="723"/>
      <c r="H28" s="715"/>
      <c r="I28" s="715"/>
    </row>
    <row r="29" spans="2:10" ht="26.25">
      <c r="B29" s="706" t="s">
        <v>14</v>
      </c>
      <c r="C29" s="707" t="s">
        <v>398</v>
      </c>
      <c r="D29" s="707" t="s">
        <v>16</v>
      </c>
      <c r="E29" s="707" t="s">
        <v>17</v>
      </c>
      <c r="F29" s="707" t="s">
        <v>18</v>
      </c>
      <c r="G29" s="707" t="s">
        <v>19</v>
      </c>
      <c r="H29" s="707" t="s">
        <v>20</v>
      </c>
    </row>
    <row r="30" spans="2:10">
      <c r="B30" s="378" t="s">
        <v>76</v>
      </c>
      <c r="C30" s="726">
        <v>1471</v>
      </c>
      <c r="D30" s="726">
        <v>1900</v>
      </c>
      <c r="E30" s="726">
        <v>3365</v>
      </c>
      <c r="F30" s="727">
        <v>0.37843004948268105</v>
      </c>
      <c r="G30" s="726">
        <v>2190</v>
      </c>
      <c r="H30" s="727">
        <v>0.5365296803652968</v>
      </c>
    </row>
    <row r="31" spans="2:10">
      <c r="B31" s="381" t="s">
        <v>92</v>
      </c>
      <c r="C31" s="728">
        <v>1386</v>
      </c>
      <c r="D31" s="728">
        <v>1233</v>
      </c>
      <c r="E31" s="728">
        <v>2616</v>
      </c>
      <c r="F31" s="729">
        <v>0.2941970310391363</v>
      </c>
      <c r="G31" s="728">
        <v>2376</v>
      </c>
      <c r="H31" s="729">
        <v>0.10101010101010101</v>
      </c>
      <c r="I31" s="1245"/>
      <c r="J31" s="1245"/>
    </row>
    <row r="32" spans="2:10">
      <c r="B32" s="381" t="s">
        <v>75</v>
      </c>
      <c r="C32" s="728">
        <v>1165</v>
      </c>
      <c r="D32" s="728">
        <v>941</v>
      </c>
      <c r="E32" s="728">
        <v>2108</v>
      </c>
      <c r="F32" s="729">
        <v>0.23706702654071074</v>
      </c>
      <c r="G32" s="728">
        <v>1092</v>
      </c>
      <c r="H32" s="729">
        <v>0.93040293040293043</v>
      </c>
      <c r="I32" s="1245"/>
      <c r="J32" s="1245"/>
    </row>
    <row r="33" spans="2:10">
      <c r="B33" s="381" t="s">
        <v>73</v>
      </c>
      <c r="C33" s="728">
        <v>880</v>
      </c>
      <c r="D33" s="728">
        <v>720</v>
      </c>
      <c r="E33" s="728">
        <v>1600</v>
      </c>
      <c r="F33" s="729">
        <v>0.17993702204228521</v>
      </c>
      <c r="G33" s="728">
        <v>1621</v>
      </c>
      <c r="H33" s="729">
        <v>-1.2954966070326958E-2</v>
      </c>
      <c r="I33" s="1245"/>
      <c r="J33" s="1245"/>
    </row>
    <row r="34" spans="2:10">
      <c r="B34" s="381" t="s">
        <v>126</v>
      </c>
      <c r="C34" s="728">
        <v>647</v>
      </c>
      <c r="D34" s="728">
        <v>482</v>
      </c>
      <c r="E34" s="728">
        <v>1123</v>
      </c>
      <c r="F34" s="729">
        <v>0.12629329734592892</v>
      </c>
      <c r="G34" s="728">
        <v>908</v>
      </c>
      <c r="H34" s="729">
        <v>0.236784140969163</v>
      </c>
      <c r="I34" s="1245"/>
      <c r="J34" s="1245"/>
    </row>
    <row r="35" spans="2:10">
      <c r="B35" s="381" t="s">
        <v>141</v>
      </c>
      <c r="C35" s="728">
        <v>408</v>
      </c>
      <c r="D35" s="728">
        <v>546</v>
      </c>
      <c r="E35" s="728">
        <v>955</v>
      </c>
      <c r="F35" s="729">
        <v>0.10739991003148898</v>
      </c>
      <c r="G35" s="728">
        <v>729</v>
      </c>
      <c r="H35" s="729">
        <v>0.31001371742112482</v>
      </c>
      <c r="I35" s="1245"/>
      <c r="J35" s="1245"/>
    </row>
    <row r="36" spans="2:10">
      <c r="B36" s="381" t="s">
        <v>140</v>
      </c>
      <c r="C36" s="728">
        <v>478</v>
      </c>
      <c r="D36" s="728">
        <v>418</v>
      </c>
      <c r="E36" s="728">
        <v>900</v>
      </c>
      <c r="F36" s="729">
        <v>0.10121457489878542</v>
      </c>
      <c r="G36" s="728">
        <v>302</v>
      </c>
      <c r="H36" s="729">
        <v>1.9801324503311257</v>
      </c>
      <c r="I36" s="1245"/>
      <c r="J36" s="1245"/>
    </row>
    <row r="37" spans="2:10">
      <c r="B37" s="381" t="s">
        <v>368</v>
      </c>
      <c r="C37" s="728">
        <v>418</v>
      </c>
      <c r="D37" s="728">
        <v>428</v>
      </c>
      <c r="E37" s="728">
        <v>851</v>
      </c>
      <c r="F37" s="729">
        <v>9.5704003598740442E-2</v>
      </c>
      <c r="G37" s="728">
        <v>833</v>
      </c>
      <c r="H37" s="729">
        <v>2.1608643457382955E-2</v>
      </c>
      <c r="I37" s="1245"/>
      <c r="J37" s="1245"/>
    </row>
    <row r="38" spans="2:10">
      <c r="B38" s="381" t="s">
        <v>91</v>
      </c>
      <c r="C38" s="728">
        <v>258</v>
      </c>
      <c r="D38" s="728">
        <v>480</v>
      </c>
      <c r="E38" s="728">
        <v>743</v>
      </c>
      <c r="F38" s="729">
        <v>8.3558254610886187E-2</v>
      </c>
      <c r="G38" s="728">
        <v>719</v>
      </c>
      <c r="H38" s="729">
        <v>3.3379694019471488E-2</v>
      </c>
      <c r="I38" s="1243"/>
      <c r="J38" s="1243"/>
    </row>
    <row r="39" spans="2:10">
      <c r="B39" s="381" t="s">
        <v>83</v>
      </c>
      <c r="C39" s="728">
        <v>372</v>
      </c>
      <c r="D39" s="728">
        <v>326</v>
      </c>
      <c r="E39" s="728">
        <v>704</v>
      </c>
      <c r="F39" s="729">
        <v>7.9172289698605486E-2</v>
      </c>
      <c r="G39" s="728">
        <v>364</v>
      </c>
      <c r="H39" s="729">
        <v>0.93406593406593408</v>
      </c>
      <c r="I39" s="1243"/>
      <c r="J39" s="1243"/>
    </row>
    <row r="40" spans="2:10">
      <c r="B40" s="381" t="s">
        <v>86</v>
      </c>
      <c r="C40" s="728">
        <v>157</v>
      </c>
      <c r="D40" s="728">
        <v>372</v>
      </c>
      <c r="E40" s="728">
        <v>533</v>
      </c>
      <c r="F40" s="729">
        <v>5.9941520467836254E-2</v>
      </c>
      <c r="G40" s="728">
        <v>438</v>
      </c>
      <c r="H40" s="729">
        <v>0.21689497716894976</v>
      </c>
      <c r="I40" s="1243"/>
      <c r="J40" s="1243"/>
    </row>
    <row r="41" spans="2:10">
      <c r="B41" s="381" t="s">
        <v>80</v>
      </c>
      <c r="C41" s="728">
        <v>271</v>
      </c>
      <c r="D41" s="728">
        <v>256</v>
      </c>
      <c r="E41" s="728">
        <v>526</v>
      </c>
      <c r="F41" s="729">
        <v>5.9154295996401263E-2</v>
      </c>
      <c r="G41" s="728">
        <v>297</v>
      </c>
      <c r="H41" s="729">
        <v>0.77104377104377109</v>
      </c>
      <c r="I41" s="1243"/>
      <c r="J41" s="1243"/>
    </row>
    <row r="42" spans="2:10">
      <c r="B42" s="381" t="s">
        <v>90</v>
      </c>
      <c r="C42" s="728">
        <v>210</v>
      </c>
      <c r="D42" s="728">
        <v>272</v>
      </c>
      <c r="E42" s="728">
        <v>475</v>
      </c>
      <c r="F42" s="729">
        <v>5.3418803418803416E-2</v>
      </c>
      <c r="G42" s="728">
        <v>404</v>
      </c>
      <c r="H42" s="729">
        <v>0.17574257425742573</v>
      </c>
      <c r="I42" s="1243"/>
      <c r="J42" s="1243"/>
    </row>
    <row r="43" spans="2:10">
      <c r="B43" s="381" t="s">
        <v>82</v>
      </c>
      <c r="C43" s="728">
        <v>200</v>
      </c>
      <c r="D43" s="728">
        <v>267</v>
      </c>
      <c r="E43" s="728">
        <v>473</v>
      </c>
      <c r="F43" s="729">
        <v>5.3193882141250565E-2</v>
      </c>
      <c r="G43" s="728">
        <v>361</v>
      </c>
      <c r="H43" s="729">
        <v>0.31024930747922436</v>
      </c>
      <c r="I43" s="1243"/>
      <c r="J43" s="1243"/>
    </row>
    <row r="44" spans="2:10">
      <c r="B44" s="381" t="s">
        <v>79</v>
      </c>
      <c r="C44" s="728">
        <v>184</v>
      </c>
      <c r="D44" s="728">
        <v>256</v>
      </c>
      <c r="E44" s="728">
        <v>444</v>
      </c>
      <c r="F44" s="729">
        <v>4.9932523616734142E-2</v>
      </c>
      <c r="G44" s="728">
        <v>489</v>
      </c>
      <c r="H44" s="729">
        <v>-9.202453987730061E-2</v>
      </c>
      <c r="I44" s="1243"/>
      <c r="J44" s="1243"/>
    </row>
    <row r="45" spans="2:10">
      <c r="B45" s="381" t="s">
        <v>93</v>
      </c>
      <c r="C45" s="728">
        <v>133</v>
      </c>
      <c r="D45" s="728">
        <v>284</v>
      </c>
      <c r="E45" s="728">
        <v>415</v>
      </c>
      <c r="F45" s="729">
        <v>4.6671165092217727E-2</v>
      </c>
      <c r="G45" s="728">
        <v>131</v>
      </c>
      <c r="H45" s="729">
        <v>2.16793893129771</v>
      </c>
      <c r="I45" s="1243"/>
      <c r="J45" s="1243"/>
    </row>
    <row r="46" spans="2:10">
      <c r="B46" s="381" t="s">
        <v>78</v>
      </c>
      <c r="C46" s="728">
        <v>181</v>
      </c>
      <c r="D46" s="728">
        <v>167</v>
      </c>
      <c r="E46" s="728">
        <v>346</v>
      </c>
      <c r="F46" s="729">
        <v>3.8911381016644174E-2</v>
      </c>
      <c r="G46" s="728">
        <v>264</v>
      </c>
      <c r="H46" s="729">
        <v>0.31060606060606061</v>
      </c>
      <c r="I46" s="1243"/>
      <c r="J46" s="1243"/>
    </row>
    <row r="47" spans="2:10">
      <c r="B47" s="381" t="s">
        <v>131</v>
      </c>
      <c r="C47" s="728">
        <v>184</v>
      </c>
      <c r="D47" s="728">
        <v>157</v>
      </c>
      <c r="E47" s="728">
        <v>341</v>
      </c>
      <c r="F47" s="729">
        <v>3.8349077822762034E-2</v>
      </c>
      <c r="G47" s="728">
        <v>391</v>
      </c>
      <c r="H47" s="729">
        <v>-0.12787723785166241</v>
      </c>
      <c r="I47" s="1243"/>
      <c r="J47" s="1243"/>
    </row>
    <row r="48" spans="2:10">
      <c r="B48" s="381" t="s">
        <v>85</v>
      </c>
      <c r="C48" s="728">
        <v>177</v>
      </c>
      <c r="D48" s="728">
        <v>143</v>
      </c>
      <c r="E48" s="728">
        <v>318</v>
      </c>
      <c r="F48" s="729">
        <v>3.5762483130904181E-2</v>
      </c>
      <c r="G48" s="728">
        <v>267</v>
      </c>
      <c r="H48" s="729">
        <v>0.19101123595505617</v>
      </c>
      <c r="I48" s="1243"/>
      <c r="J48" s="1243"/>
    </row>
    <row r="49" spans="2:11">
      <c r="B49" s="381" t="s">
        <v>89</v>
      </c>
      <c r="C49" s="728">
        <v>173</v>
      </c>
      <c r="D49" s="728">
        <v>137</v>
      </c>
      <c r="E49" s="728">
        <v>314</v>
      </c>
      <c r="F49" s="729">
        <v>3.5312640575798471E-2</v>
      </c>
      <c r="G49" s="730">
        <v>90</v>
      </c>
      <c r="H49" s="729">
        <v>2.4888888888888889</v>
      </c>
      <c r="I49" s="1243"/>
      <c r="J49" s="1243"/>
    </row>
    <row r="50" spans="2:11">
      <c r="B50" s="381" t="s">
        <v>74</v>
      </c>
      <c r="C50" s="728">
        <v>159</v>
      </c>
      <c r="D50" s="728">
        <v>142</v>
      </c>
      <c r="E50" s="728">
        <v>307</v>
      </c>
      <c r="F50" s="729">
        <v>3.4525416104363472E-2</v>
      </c>
      <c r="G50" s="728">
        <v>254</v>
      </c>
      <c r="H50" s="729">
        <v>0.20866141732283464</v>
      </c>
      <c r="I50" s="1243"/>
      <c r="J50" s="1243"/>
    </row>
    <row r="51" spans="2:11">
      <c r="B51" s="381" t="s">
        <v>399</v>
      </c>
      <c r="C51" s="728">
        <v>193</v>
      </c>
      <c r="D51" s="728">
        <v>87</v>
      </c>
      <c r="E51" s="728">
        <v>277</v>
      </c>
      <c r="F51" s="729">
        <v>3.1151596941070624E-2</v>
      </c>
      <c r="G51" s="730">
        <v>93</v>
      </c>
      <c r="H51" s="729">
        <v>1.978494623655914</v>
      </c>
      <c r="I51" s="1243"/>
      <c r="J51" s="1243"/>
    </row>
    <row r="52" spans="2:11">
      <c r="B52" s="381" t="s">
        <v>130</v>
      </c>
      <c r="C52" s="728">
        <v>105</v>
      </c>
      <c r="D52" s="728">
        <v>149</v>
      </c>
      <c r="E52" s="728">
        <v>255</v>
      </c>
      <c r="F52" s="729">
        <v>2.8677462887989204E-2</v>
      </c>
      <c r="G52" s="728">
        <v>260</v>
      </c>
      <c r="H52" s="729">
        <v>-1.9230769230769232E-2</v>
      </c>
      <c r="I52" s="1243"/>
      <c r="J52" s="1243"/>
    </row>
    <row r="53" spans="2:11">
      <c r="B53" s="381" t="s">
        <v>88</v>
      </c>
      <c r="C53" s="728">
        <v>120</v>
      </c>
      <c r="D53" s="728">
        <v>120</v>
      </c>
      <c r="E53" s="728">
        <v>244</v>
      </c>
      <c r="F53" s="729">
        <v>2.7440395861448492E-2</v>
      </c>
      <c r="G53" s="728">
        <v>152</v>
      </c>
      <c r="H53" s="729">
        <v>0.60526315789473684</v>
      </c>
      <c r="I53" s="1243"/>
      <c r="J53" s="1243"/>
    </row>
    <row r="54" spans="2:11">
      <c r="B54" s="381" t="s">
        <v>400</v>
      </c>
      <c r="C54" s="728">
        <v>160</v>
      </c>
      <c r="D54" s="728">
        <v>78</v>
      </c>
      <c r="E54" s="728">
        <v>240</v>
      </c>
      <c r="F54" s="729">
        <v>2.6990553306342781E-2</v>
      </c>
      <c r="G54" s="728">
        <v>135</v>
      </c>
      <c r="H54" s="729">
        <v>0.77777777777777779</v>
      </c>
      <c r="I54" s="1243"/>
      <c r="J54" s="1243"/>
    </row>
    <row r="55" spans="2:11">
      <c r="B55" s="381" t="s">
        <v>77</v>
      </c>
      <c r="C55" s="728">
        <v>113</v>
      </c>
      <c r="D55" s="728">
        <v>122</v>
      </c>
      <c r="E55" s="728">
        <v>233</v>
      </c>
      <c r="F55" s="729">
        <v>2.6203328834907783E-2</v>
      </c>
      <c r="G55" s="728">
        <v>252</v>
      </c>
      <c r="H55" s="729">
        <v>-7.5396825396825393E-2</v>
      </c>
      <c r="I55" s="1243"/>
      <c r="J55" s="1243"/>
    </row>
    <row r="56" spans="2:11" s="737" customFormat="1">
      <c r="B56" s="731" t="s">
        <v>849</v>
      </c>
      <c r="C56" s="732">
        <v>2232</v>
      </c>
      <c r="D56" s="732">
        <v>2004</v>
      </c>
      <c r="E56" s="733">
        <v>4228</v>
      </c>
      <c r="F56" s="734">
        <v>0.47548358074673863</v>
      </c>
      <c r="G56" s="735">
        <v>4055</v>
      </c>
      <c r="H56" s="736">
        <v>4.2663378545006167E-2</v>
      </c>
      <c r="I56" s="1248"/>
      <c r="J56" s="1248"/>
    </row>
    <row r="57" spans="2:11">
      <c r="B57" s="738" t="s">
        <v>21</v>
      </c>
      <c r="C57" s="739">
        <v>12455</v>
      </c>
      <c r="D57" s="739">
        <v>12506</v>
      </c>
      <c r="E57" s="740">
        <v>24956</v>
      </c>
      <c r="F57" s="741" t="s">
        <v>22</v>
      </c>
      <c r="G57" s="742">
        <v>19467</v>
      </c>
      <c r="H57" s="743">
        <v>0.281964349925515</v>
      </c>
      <c r="I57" s="1249"/>
      <c r="J57" s="1249"/>
    </row>
    <row r="58" spans="2:11" s="329" customFormat="1" ht="12.75">
      <c r="B58" s="349" t="s">
        <v>366</v>
      </c>
    </row>
    <row r="60" spans="2:11" ht="23.25">
      <c r="B60" s="127" t="s">
        <v>696</v>
      </c>
      <c r="C60" s="328"/>
      <c r="D60" s="328"/>
      <c r="E60" s="328"/>
      <c r="F60" s="328"/>
      <c r="G60" s="328"/>
      <c r="H60" s="328"/>
      <c r="I60" s="328"/>
      <c r="J60" s="328"/>
      <c r="K60" s="328"/>
    </row>
    <row r="61" spans="2:11" ht="15.75">
      <c r="B61" s="744" t="s">
        <v>850</v>
      </c>
      <c r="C61" s="328"/>
      <c r="D61" s="328"/>
      <c r="E61" s="328"/>
      <c r="F61" s="328"/>
      <c r="G61" s="328"/>
      <c r="H61" s="328"/>
      <c r="I61" s="328"/>
      <c r="J61" s="328"/>
      <c r="K61" s="328"/>
    </row>
    <row r="62" spans="2:11" ht="15.75">
      <c r="B62" s="745" t="s">
        <v>871</v>
      </c>
      <c r="C62" s="328"/>
      <c r="D62" s="328"/>
      <c r="E62" s="328"/>
      <c r="F62" s="328"/>
      <c r="G62" s="328"/>
      <c r="H62" s="328"/>
      <c r="I62" s="328"/>
      <c r="J62" s="328"/>
      <c r="K62" s="328"/>
    </row>
    <row r="63" spans="2:11">
      <c r="B63" s="746" t="s">
        <v>14</v>
      </c>
      <c r="C63" s="747" t="s">
        <v>23</v>
      </c>
      <c r="D63" s="747" t="s">
        <v>24</v>
      </c>
      <c r="E63" s="747" t="s">
        <v>25</v>
      </c>
      <c r="F63" s="747" t="s">
        <v>26</v>
      </c>
      <c r="G63" s="747" t="s">
        <v>27</v>
      </c>
      <c r="H63" s="748" t="s">
        <v>28</v>
      </c>
    </row>
    <row r="64" spans="2:11">
      <c r="B64" s="749" t="s">
        <v>76</v>
      </c>
      <c r="C64" s="750">
        <v>451</v>
      </c>
      <c r="D64" s="750">
        <v>425</v>
      </c>
      <c r="E64" s="750">
        <v>1584</v>
      </c>
      <c r="F64" s="750">
        <v>764</v>
      </c>
      <c r="G64" s="750">
        <v>144</v>
      </c>
      <c r="H64" s="751">
        <v>3365</v>
      </c>
    </row>
    <row r="65" spans="2:8">
      <c r="B65" s="752" t="s">
        <v>92</v>
      </c>
      <c r="C65" s="753">
        <v>166</v>
      </c>
      <c r="D65" s="753">
        <v>184</v>
      </c>
      <c r="E65" s="753">
        <v>756</v>
      </c>
      <c r="F65" s="753">
        <v>971</v>
      </c>
      <c r="G65" s="753">
        <v>536</v>
      </c>
      <c r="H65" s="754">
        <v>2616</v>
      </c>
    </row>
    <row r="66" spans="2:8">
      <c r="B66" s="755" t="s">
        <v>75</v>
      </c>
      <c r="C66" s="750">
        <v>238</v>
      </c>
      <c r="D66" s="750">
        <v>187</v>
      </c>
      <c r="E66" s="750">
        <v>1323</v>
      </c>
      <c r="F66" s="750">
        <v>289</v>
      </c>
      <c r="G66" s="750">
        <v>73</v>
      </c>
      <c r="H66" s="751">
        <v>2108</v>
      </c>
    </row>
    <row r="67" spans="2:8">
      <c r="B67" s="752" t="s">
        <v>73</v>
      </c>
      <c r="C67" s="753">
        <v>79</v>
      </c>
      <c r="D67" s="753">
        <v>100</v>
      </c>
      <c r="E67" s="753">
        <v>529</v>
      </c>
      <c r="F67" s="753">
        <v>670</v>
      </c>
      <c r="G67" s="753">
        <v>216</v>
      </c>
      <c r="H67" s="754">
        <v>1600</v>
      </c>
    </row>
    <row r="68" spans="2:8">
      <c r="B68" s="755" t="s">
        <v>126</v>
      </c>
      <c r="C68" s="750">
        <v>115</v>
      </c>
      <c r="D68" s="750">
        <v>111</v>
      </c>
      <c r="E68" s="750">
        <v>272</v>
      </c>
      <c r="F68" s="750">
        <v>324</v>
      </c>
      <c r="G68" s="750">
        <v>313</v>
      </c>
      <c r="H68" s="751">
        <v>1123</v>
      </c>
    </row>
    <row r="69" spans="2:8" ht="15" customHeight="1">
      <c r="B69" s="752" t="s">
        <v>141</v>
      </c>
      <c r="C69" s="753">
        <v>89</v>
      </c>
      <c r="D69" s="753">
        <v>130</v>
      </c>
      <c r="E69" s="753">
        <v>454</v>
      </c>
      <c r="F69" s="753">
        <v>199</v>
      </c>
      <c r="G69" s="753">
        <v>84</v>
      </c>
      <c r="H69" s="754">
        <v>955</v>
      </c>
    </row>
    <row r="70" spans="2:8">
      <c r="B70" s="755" t="s">
        <v>140</v>
      </c>
      <c r="C70" s="750">
        <v>47</v>
      </c>
      <c r="D70" s="750">
        <v>184</v>
      </c>
      <c r="E70" s="750">
        <v>620</v>
      </c>
      <c r="F70" s="750">
        <v>33</v>
      </c>
      <c r="G70" s="750">
        <v>5</v>
      </c>
      <c r="H70" s="751">
        <v>900</v>
      </c>
    </row>
    <row r="71" spans="2:8">
      <c r="B71" s="752" t="s">
        <v>368</v>
      </c>
      <c r="C71" s="753">
        <v>24</v>
      </c>
      <c r="D71" s="753">
        <v>26</v>
      </c>
      <c r="E71" s="753">
        <v>205</v>
      </c>
      <c r="F71" s="753">
        <v>422</v>
      </c>
      <c r="G71" s="753">
        <v>179</v>
      </c>
      <c r="H71" s="754">
        <v>851</v>
      </c>
    </row>
    <row r="72" spans="2:8">
      <c r="B72" s="755" t="s">
        <v>91</v>
      </c>
      <c r="C72" s="750">
        <v>61</v>
      </c>
      <c r="D72" s="750">
        <v>102</v>
      </c>
      <c r="E72" s="750">
        <v>337</v>
      </c>
      <c r="F72" s="750">
        <v>180</v>
      </c>
      <c r="G72" s="750">
        <v>60</v>
      </c>
      <c r="H72" s="751">
        <v>743</v>
      </c>
    </row>
    <row r="73" spans="2:8">
      <c r="B73" s="752" t="s">
        <v>83</v>
      </c>
      <c r="C73" s="753">
        <v>43</v>
      </c>
      <c r="D73" s="753">
        <v>42</v>
      </c>
      <c r="E73" s="753">
        <v>540</v>
      </c>
      <c r="F73" s="753">
        <v>49</v>
      </c>
      <c r="G73" s="753">
        <v>29</v>
      </c>
      <c r="H73" s="754">
        <v>704</v>
      </c>
    </row>
    <row r="74" spans="2:8">
      <c r="B74" s="756" t="s">
        <v>29</v>
      </c>
      <c r="C74" s="757">
        <v>10969</v>
      </c>
      <c r="D74" s="757">
        <v>5949</v>
      </c>
      <c r="E74" s="757">
        <v>14031</v>
      </c>
      <c r="F74" s="757">
        <v>10670</v>
      </c>
      <c r="G74" s="757">
        <v>3333</v>
      </c>
      <c r="H74" s="758">
        <v>44951</v>
      </c>
    </row>
    <row r="75" spans="2:8">
      <c r="B75" s="759" t="s">
        <v>370</v>
      </c>
      <c r="C75" s="757">
        <v>421</v>
      </c>
      <c r="D75" s="757">
        <v>437</v>
      </c>
      <c r="E75" s="757">
        <v>2349</v>
      </c>
      <c r="F75" s="757">
        <v>2106</v>
      </c>
      <c r="G75" s="757">
        <v>998</v>
      </c>
      <c r="H75" s="758">
        <v>6303</v>
      </c>
    </row>
    <row r="76" spans="2:8">
      <c r="B76" s="760" t="s">
        <v>31</v>
      </c>
      <c r="C76" s="761">
        <v>12768</v>
      </c>
      <c r="D76" s="761">
        <v>7913</v>
      </c>
      <c r="E76" s="761">
        <v>22761</v>
      </c>
      <c r="F76" s="761">
        <v>14849</v>
      </c>
      <c r="G76" s="761">
        <v>5255</v>
      </c>
      <c r="H76" s="762">
        <v>63554</v>
      </c>
    </row>
    <row r="77" spans="2:8">
      <c r="B77" s="702" t="s">
        <v>28</v>
      </c>
      <c r="C77" s="763">
        <v>14544</v>
      </c>
      <c r="D77" s="763">
        <v>9437</v>
      </c>
      <c r="E77" s="763">
        <v>28580</v>
      </c>
      <c r="F77" s="763">
        <v>19156</v>
      </c>
      <c r="G77" s="763">
        <v>7071</v>
      </c>
      <c r="H77" s="763">
        <v>78798</v>
      </c>
    </row>
    <row r="78" spans="2:8" ht="23.25">
      <c r="B78" s="127" t="s">
        <v>858</v>
      </c>
      <c r="C78" s="328"/>
      <c r="D78" s="328"/>
      <c r="E78" s="328"/>
      <c r="F78" s="328"/>
      <c r="G78" s="328"/>
      <c r="H78" s="328"/>
    </row>
    <row r="79" spans="2:8" ht="15.75">
      <c r="B79" s="744" t="s">
        <v>833</v>
      </c>
      <c r="C79" s="328"/>
      <c r="D79" s="328"/>
      <c r="E79" s="328"/>
      <c r="F79" s="328"/>
      <c r="G79" s="328"/>
      <c r="H79" s="328"/>
    </row>
    <row r="80" spans="2:8" ht="15.75">
      <c r="B80" s="745" t="s">
        <v>843</v>
      </c>
      <c r="C80" s="328"/>
      <c r="D80" s="328"/>
      <c r="E80" s="328"/>
      <c r="F80" s="328"/>
      <c r="G80" s="328"/>
      <c r="H80" s="328"/>
    </row>
    <row r="81" spans="2:9">
      <c r="B81" s="764" t="s">
        <v>14</v>
      </c>
      <c r="C81" s="765" t="s">
        <v>23</v>
      </c>
      <c r="D81" s="765" t="s">
        <v>24</v>
      </c>
      <c r="E81" s="765" t="s">
        <v>25</v>
      </c>
      <c r="F81" s="765" t="s">
        <v>26</v>
      </c>
      <c r="G81" s="765" t="s">
        <v>27</v>
      </c>
      <c r="H81" s="766" t="s">
        <v>28</v>
      </c>
    </row>
    <row r="82" spans="2:9">
      <c r="B82" s="767" t="s">
        <v>76</v>
      </c>
      <c r="C82" s="768">
        <v>0.13402674591381872</v>
      </c>
      <c r="D82" s="768">
        <v>0.1263001485884101</v>
      </c>
      <c r="E82" s="768">
        <v>0.47072808320950965</v>
      </c>
      <c r="F82" s="768">
        <v>0.22704309063893016</v>
      </c>
      <c r="G82" s="768">
        <v>4.2793462109955424E-2</v>
      </c>
      <c r="H82" s="769">
        <v>3365</v>
      </c>
    </row>
    <row r="83" spans="2:9">
      <c r="B83" s="770" t="s">
        <v>92</v>
      </c>
      <c r="C83" s="771">
        <v>6.3455657492354739E-2</v>
      </c>
      <c r="D83" s="771">
        <v>7.0336391437308868E-2</v>
      </c>
      <c r="E83" s="771">
        <v>0.28899082568807338</v>
      </c>
      <c r="F83" s="771">
        <v>0.37117737003058104</v>
      </c>
      <c r="G83" s="771">
        <v>0.20489296636085627</v>
      </c>
      <c r="H83" s="772">
        <v>2616</v>
      </c>
    </row>
    <row r="84" spans="2:9">
      <c r="B84" s="767" t="s">
        <v>75</v>
      </c>
      <c r="C84" s="768">
        <v>0.11290322580645161</v>
      </c>
      <c r="D84" s="768">
        <v>8.8709677419354843E-2</v>
      </c>
      <c r="E84" s="768">
        <v>0.62760910815939275</v>
      </c>
      <c r="F84" s="768">
        <v>0.13709677419354838</v>
      </c>
      <c r="G84" s="768">
        <v>3.4629981024667932E-2</v>
      </c>
      <c r="H84" s="769">
        <v>2108</v>
      </c>
    </row>
    <row r="85" spans="2:9">
      <c r="B85" s="770" t="s">
        <v>73</v>
      </c>
      <c r="C85" s="771">
        <v>4.9375000000000002E-2</v>
      </c>
      <c r="D85" s="771">
        <v>6.25E-2</v>
      </c>
      <c r="E85" s="771">
        <v>0.330625</v>
      </c>
      <c r="F85" s="771">
        <v>0.41875000000000001</v>
      </c>
      <c r="G85" s="771">
        <v>0.13500000000000001</v>
      </c>
      <c r="H85" s="772">
        <v>1600</v>
      </c>
    </row>
    <row r="86" spans="2:9">
      <c r="B86" s="767" t="s">
        <v>126</v>
      </c>
      <c r="C86" s="768">
        <v>0.10240427426536064</v>
      </c>
      <c r="D86" s="768">
        <v>9.8842386464826362E-2</v>
      </c>
      <c r="E86" s="768">
        <v>0.24220837043633126</v>
      </c>
      <c r="F86" s="768">
        <v>0.28851291184327693</v>
      </c>
      <c r="G86" s="768">
        <v>0.27871772039180764</v>
      </c>
      <c r="H86" s="769">
        <v>1123</v>
      </c>
    </row>
    <row r="87" spans="2:9">
      <c r="B87" s="770" t="s">
        <v>141</v>
      </c>
      <c r="C87" s="771">
        <v>9.3193717277486918E-2</v>
      </c>
      <c r="D87" s="771">
        <v>0.13612565445026178</v>
      </c>
      <c r="E87" s="771">
        <v>0.47539267015706804</v>
      </c>
      <c r="F87" s="771">
        <v>0.20837696335078534</v>
      </c>
      <c r="G87" s="771">
        <v>8.7958115183246074E-2</v>
      </c>
      <c r="H87" s="772">
        <v>955</v>
      </c>
    </row>
    <row r="88" spans="2:9">
      <c r="B88" s="767" t="s">
        <v>140</v>
      </c>
      <c r="C88" s="768">
        <v>5.2222222222222225E-2</v>
      </c>
      <c r="D88" s="768">
        <v>0.20444444444444446</v>
      </c>
      <c r="E88" s="768">
        <v>0.68888888888888888</v>
      </c>
      <c r="F88" s="768">
        <v>3.6666666666666667E-2</v>
      </c>
      <c r="G88" s="768">
        <v>5.5555555555555558E-3</v>
      </c>
      <c r="H88" s="769">
        <v>900</v>
      </c>
    </row>
    <row r="89" spans="2:9">
      <c r="B89" s="770" t="s">
        <v>368</v>
      </c>
      <c r="C89" s="771">
        <v>2.8202115158636899E-2</v>
      </c>
      <c r="D89" s="771">
        <v>3.0552291421856639E-2</v>
      </c>
      <c r="E89" s="771">
        <v>0.2408930669800235</v>
      </c>
      <c r="F89" s="771">
        <v>0.49588719153936545</v>
      </c>
      <c r="G89" s="771">
        <v>0.21034077555816685</v>
      </c>
      <c r="H89" s="772">
        <v>851</v>
      </c>
    </row>
    <row r="90" spans="2:9">
      <c r="B90" s="767" t="s">
        <v>91</v>
      </c>
      <c r="C90" s="768">
        <v>8.2099596231493946E-2</v>
      </c>
      <c r="D90" s="768">
        <v>0.13728129205921938</v>
      </c>
      <c r="E90" s="768">
        <v>0.45356662180349933</v>
      </c>
      <c r="F90" s="768">
        <v>0.24226110363391656</v>
      </c>
      <c r="G90" s="768">
        <v>8.0753701211305512E-2</v>
      </c>
      <c r="H90" s="769">
        <v>743</v>
      </c>
    </row>
    <row r="91" spans="2:9">
      <c r="B91" s="770" t="s">
        <v>83</v>
      </c>
      <c r="C91" s="771">
        <v>6.1079545454545456E-2</v>
      </c>
      <c r="D91" s="771">
        <v>5.9659090909090912E-2</v>
      </c>
      <c r="E91" s="771">
        <v>0.76704545454545459</v>
      </c>
      <c r="F91" s="771">
        <v>6.9602272727272721E-2</v>
      </c>
      <c r="G91" s="771">
        <v>4.1193181818181816E-2</v>
      </c>
      <c r="H91" s="772">
        <v>704</v>
      </c>
    </row>
    <row r="92" spans="2:9">
      <c r="B92" s="759" t="s">
        <v>29</v>
      </c>
      <c r="C92" s="773">
        <v>0.24402126760250051</v>
      </c>
      <c r="D92" s="773">
        <v>0.13234410802874241</v>
      </c>
      <c r="E92" s="773">
        <v>0.31213988565326689</v>
      </c>
      <c r="F92" s="773">
        <v>0.23736958020956153</v>
      </c>
      <c r="G92" s="773">
        <v>7.4147404952058904E-2</v>
      </c>
      <c r="H92" s="774">
        <v>44951</v>
      </c>
    </row>
    <row r="93" spans="2:9" ht="15.75">
      <c r="B93" s="759" t="s">
        <v>370</v>
      </c>
      <c r="C93" s="773">
        <v>6.6793590353799781E-2</v>
      </c>
      <c r="D93" s="773">
        <v>6.9332064096462004E-2</v>
      </c>
      <c r="E93" s="773">
        <v>0.37267967634459781</v>
      </c>
      <c r="F93" s="773">
        <v>0.3341266063779153</v>
      </c>
      <c r="G93" s="773">
        <v>0.15833729969855626</v>
      </c>
      <c r="H93" s="775">
        <v>6303</v>
      </c>
      <c r="I93" s="328"/>
    </row>
    <row r="94" spans="2:9" ht="15.75">
      <c r="B94" s="760" t="s">
        <v>31</v>
      </c>
      <c r="C94" s="776">
        <v>0.20090002202851118</v>
      </c>
      <c r="D94" s="776">
        <v>0.12450829216099694</v>
      </c>
      <c r="E94" s="776">
        <v>0.35813638795355129</v>
      </c>
      <c r="F94" s="776">
        <v>0.23364383044340245</v>
      </c>
      <c r="G94" s="776">
        <v>8.2685590206753312E-2</v>
      </c>
      <c r="H94" s="777">
        <v>63554</v>
      </c>
      <c r="I94" s="328"/>
    </row>
    <row r="97" spans="2:14" ht="23.25">
      <c r="B97" s="127" t="s">
        <v>859</v>
      </c>
      <c r="C97" s="328"/>
      <c r="D97" s="328"/>
      <c r="E97" s="328"/>
      <c r="F97" s="328"/>
      <c r="G97" s="328"/>
      <c r="H97" s="328"/>
      <c r="I97" s="328"/>
    </row>
    <row r="98" spans="2:14" ht="15.75">
      <c r="B98" s="778" t="s">
        <v>851</v>
      </c>
      <c r="C98" s="328"/>
      <c r="D98" s="328"/>
      <c r="E98" s="328"/>
      <c r="F98" s="328"/>
      <c r="G98" s="328"/>
      <c r="H98" s="328"/>
      <c r="I98" s="328"/>
    </row>
    <row r="99" spans="2:14" ht="15.75">
      <c r="B99" s="745" t="s">
        <v>887</v>
      </c>
      <c r="C99" s="328"/>
      <c r="D99" s="328"/>
      <c r="E99" s="328"/>
      <c r="F99" s="328"/>
      <c r="G99" s="328"/>
      <c r="H99" s="328"/>
      <c r="I99" s="328"/>
    </row>
    <row r="100" spans="2:14">
      <c r="B100" s="779" t="s">
        <v>14</v>
      </c>
      <c r="C100" s="747" t="s">
        <v>32</v>
      </c>
      <c r="D100" s="747" t="s">
        <v>33</v>
      </c>
      <c r="E100" s="747" t="s">
        <v>34</v>
      </c>
      <c r="F100" s="747" t="s">
        <v>403</v>
      </c>
      <c r="G100" s="747" t="s">
        <v>404</v>
      </c>
      <c r="H100" s="747">
        <v>2016</v>
      </c>
      <c r="I100" s="748" t="s">
        <v>28</v>
      </c>
    </row>
    <row r="101" spans="2:14" ht="15" customHeight="1">
      <c r="B101" s="749" t="s">
        <v>76</v>
      </c>
      <c r="C101" s="750">
        <v>255</v>
      </c>
      <c r="D101" s="750">
        <v>307</v>
      </c>
      <c r="E101" s="750">
        <v>263</v>
      </c>
      <c r="F101" s="750">
        <v>991</v>
      </c>
      <c r="G101" s="750">
        <v>1285</v>
      </c>
      <c r="H101" s="750">
        <v>160</v>
      </c>
      <c r="I101" s="751">
        <v>3365</v>
      </c>
    </row>
    <row r="102" spans="2:14" ht="15" customHeight="1">
      <c r="B102" s="752" t="s">
        <v>92</v>
      </c>
      <c r="C102" s="753">
        <v>1123</v>
      </c>
      <c r="D102" s="753">
        <v>195</v>
      </c>
      <c r="E102" s="753">
        <v>256</v>
      </c>
      <c r="F102" s="753">
        <v>295</v>
      </c>
      <c r="G102" s="753">
        <v>570</v>
      </c>
      <c r="H102" s="753">
        <v>78</v>
      </c>
      <c r="I102" s="754">
        <v>2616</v>
      </c>
    </row>
    <row r="103" spans="2:14" ht="15" customHeight="1">
      <c r="B103" s="755" t="s">
        <v>75</v>
      </c>
      <c r="C103" s="750">
        <v>102</v>
      </c>
      <c r="D103" s="750">
        <v>52</v>
      </c>
      <c r="E103" s="750">
        <v>150</v>
      </c>
      <c r="F103" s="750">
        <v>685</v>
      </c>
      <c r="G103" s="750">
        <v>931</v>
      </c>
      <c r="H103" s="750">
        <v>141</v>
      </c>
      <c r="I103" s="751">
        <v>2108</v>
      </c>
    </row>
    <row r="104" spans="2:14" ht="15" customHeight="1">
      <c r="B104" s="752" t="s">
        <v>73</v>
      </c>
      <c r="C104" s="753">
        <v>558</v>
      </c>
      <c r="D104" s="753">
        <v>251</v>
      </c>
      <c r="E104" s="753">
        <v>270</v>
      </c>
      <c r="F104" s="753">
        <v>206</v>
      </c>
      <c r="G104" s="753">
        <v>247</v>
      </c>
      <c r="H104" s="753">
        <v>18</v>
      </c>
      <c r="I104" s="754">
        <v>1600</v>
      </c>
    </row>
    <row r="105" spans="2:14" ht="15" customHeight="1">
      <c r="B105" s="755" t="s">
        <v>126</v>
      </c>
      <c r="C105" s="750">
        <v>579</v>
      </c>
      <c r="D105" s="750">
        <v>47</v>
      </c>
      <c r="E105" s="750">
        <v>95</v>
      </c>
      <c r="F105" s="750">
        <v>102</v>
      </c>
      <c r="G105" s="750">
        <v>239</v>
      </c>
      <c r="H105" s="750">
        <v>22</v>
      </c>
      <c r="I105" s="751">
        <v>1123</v>
      </c>
    </row>
    <row r="106" spans="2:14" ht="15" customHeight="1">
      <c r="B106" s="752" t="s">
        <v>141</v>
      </c>
      <c r="C106" s="753">
        <v>67</v>
      </c>
      <c r="D106" s="753">
        <v>56</v>
      </c>
      <c r="E106" s="753">
        <v>88</v>
      </c>
      <c r="F106" s="753">
        <v>402</v>
      </c>
      <c r="G106" s="753">
        <v>276</v>
      </c>
      <c r="H106" s="753">
        <v>45</v>
      </c>
      <c r="I106" s="754">
        <v>955</v>
      </c>
    </row>
    <row r="107" spans="2:14" ht="15" customHeight="1">
      <c r="B107" s="755" t="s">
        <v>140</v>
      </c>
      <c r="C107" s="750">
        <v>0</v>
      </c>
      <c r="D107" s="750">
        <v>5</v>
      </c>
      <c r="E107" s="750">
        <v>9</v>
      </c>
      <c r="F107" s="750">
        <v>323</v>
      </c>
      <c r="G107" s="750">
        <v>401</v>
      </c>
      <c r="H107" s="750">
        <v>129</v>
      </c>
      <c r="I107" s="751">
        <v>900</v>
      </c>
      <c r="J107" s="328"/>
      <c r="K107" s="328"/>
      <c r="L107" s="328"/>
      <c r="M107" s="328"/>
      <c r="N107" s="328"/>
    </row>
    <row r="108" spans="2:14" ht="15" customHeight="1">
      <c r="B108" s="752" t="s">
        <v>368</v>
      </c>
      <c r="C108" s="753">
        <v>504</v>
      </c>
      <c r="D108" s="753">
        <v>176</v>
      </c>
      <c r="E108" s="753">
        <v>55</v>
      </c>
      <c r="F108" s="753">
        <v>40</v>
      </c>
      <c r="G108" s="753">
        <v>37</v>
      </c>
      <c r="H108" s="753">
        <v>3</v>
      </c>
      <c r="I108" s="754">
        <v>851</v>
      </c>
      <c r="J108" s="328"/>
      <c r="K108" s="328"/>
      <c r="L108" s="328"/>
      <c r="M108" s="328"/>
      <c r="N108" s="328"/>
    </row>
    <row r="109" spans="2:14" ht="15" customHeight="1">
      <c r="B109" s="755" t="s">
        <v>91</v>
      </c>
      <c r="C109" s="750">
        <v>90</v>
      </c>
      <c r="D109" s="750">
        <v>106</v>
      </c>
      <c r="E109" s="750">
        <v>151</v>
      </c>
      <c r="F109" s="750">
        <v>160</v>
      </c>
      <c r="G109" s="750">
        <v>178</v>
      </c>
      <c r="H109" s="750">
        <v>30</v>
      </c>
      <c r="I109" s="751">
        <v>743</v>
      </c>
      <c r="J109" s="328"/>
      <c r="K109" s="328"/>
      <c r="L109" s="328"/>
      <c r="M109" s="328"/>
      <c r="N109" s="328"/>
    </row>
    <row r="110" spans="2:14" ht="15" customHeight="1">
      <c r="B110" s="780" t="s">
        <v>83</v>
      </c>
      <c r="C110" s="781">
        <v>52</v>
      </c>
      <c r="D110" s="781">
        <v>28</v>
      </c>
      <c r="E110" s="781">
        <v>33</v>
      </c>
      <c r="F110" s="781">
        <v>176</v>
      </c>
      <c r="G110" s="781">
        <v>377</v>
      </c>
      <c r="H110" s="781">
        <v>19</v>
      </c>
      <c r="I110" s="782">
        <v>704</v>
      </c>
      <c r="J110" s="328"/>
      <c r="K110" s="328"/>
      <c r="L110" s="328"/>
      <c r="M110" s="328"/>
      <c r="N110" s="328"/>
    </row>
    <row r="111" spans="2:14" ht="15.75">
      <c r="B111" s="783"/>
      <c r="C111" s="784"/>
      <c r="D111" s="784"/>
      <c r="E111" s="784"/>
      <c r="F111" s="783"/>
      <c r="G111" s="784"/>
      <c r="H111" s="784"/>
      <c r="I111" s="328"/>
      <c r="J111" s="328"/>
      <c r="K111" s="328"/>
      <c r="L111" s="328"/>
      <c r="M111" s="328"/>
      <c r="N111" s="328"/>
    </row>
    <row r="112" spans="2:14" ht="23.25">
      <c r="B112" s="127" t="s">
        <v>860</v>
      </c>
      <c r="C112" s="328"/>
      <c r="D112" s="328"/>
      <c r="E112" s="328"/>
      <c r="F112" s="328"/>
      <c r="G112" s="328"/>
      <c r="H112" s="328"/>
      <c r="I112" s="328"/>
      <c r="J112" s="328"/>
      <c r="K112" s="328"/>
      <c r="L112" s="328"/>
      <c r="M112" s="328"/>
      <c r="N112" s="328"/>
    </row>
    <row r="113" spans="2:20" ht="15.75">
      <c r="B113" s="778" t="s">
        <v>851</v>
      </c>
      <c r="C113" s="328"/>
      <c r="D113" s="328"/>
      <c r="E113" s="328"/>
      <c r="F113" s="328"/>
      <c r="G113" s="328"/>
      <c r="H113" s="328"/>
      <c r="I113" s="328"/>
      <c r="J113" s="328"/>
      <c r="K113" s="328"/>
      <c r="L113" s="328"/>
      <c r="M113" s="328"/>
      <c r="N113" s="328"/>
    </row>
    <row r="114" spans="2:20" ht="15.75">
      <c r="B114" s="745" t="s">
        <v>845</v>
      </c>
      <c r="C114" s="328"/>
      <c r="D114" s="328"/>
      <c r="E114" s="328"/>
      <c r="F114" s="328"/>
      <c r="G114" s="328"/>
      <c r="H114" s="328"/>
      <c r="I114" s="328"/>
      <c r="J114" s="783"/>
      <c r="K114" s="785"/>
      <c r="L114" s="785"/>
      <c r="M114" s="785"/>
      <c r="N114" s="785"/>
    </row>
    <row r="115" spans="2:20" ht="15.75">
      <c r="B115" s="786" t="s">
        <v>14</v>
      </c>
      <c r="C115" s="765" t="s">
        <v>32</v>
      </c>
      <c r="D115" s="765" t="s">
        <v>33</v>
      </c>
      <c r="E115" s="765" t="s">
        <v>34</v>
      </c>
      <c r="F115" s="765" t="s">
        <v>403</v>
      </c>
      <c r="G115" s="765" t="s">
        <v>404</v>
      </c>
      <c r="H115" s="765">
        <v>2016</v>
      </c>
      <c r="I115" s="766" t="s">
        <v>28</v>
      </c>
      <c r="J115" s="328"/>
      <c r="K115" s="785"/>
      <c r="L115" s="785"/>
      <c r="M115" s="785"/>
      <c r="N115" s="785"/>
    </row>
    <row r="116" spans="2:20" ht="15.75">
      <c r="B116" s="787" t="s">
        <v>76</v>
      </c>
      <c r="C116" s="788">
        <v>0.08</v>
      </c>
      <c r="D116" s="788">
        <v>0.09</v>
      </c>
      <c r="E116" s="788">
        <v>0.08</v>
      </c>
      <c r="F116" s="788">
        <v>0.28999999999999998</v>
      </c>
      <c r="G116" s="788">
        <v>0.38</v>
      </c>
      <c r="H116" s="788">
        <v>0.05</v>
      </c>
      <c r="I116" s="789">
        <v>3365</v>
      </c>
      <c r="J116" s="790"/>
      <c r="K116" s="785"/>
      <c r="L116" s="785"/>
      <c r="M116" s="785"/>
      <c r="N116" s="785"/>
    </row>
    <row r="117" spans="2:20" ht="15.75">
      <c r="B117" s="791" t="s">
        <v>92</v>
      </c>
      <c r="C117" s="771">
        <v>0.43</v>
      </c>
      <c r="D117" s="771">
        <v>7.0000000000000007E-2</v>
      </c>
      <c r="E117" s="771">
        <v>0.1</v>
      </c>
      <c r="F117" s="771">
        <v>0.11</v>
      </c>
      <c r="G117" s="771">
        <v>0.22</v>
      </c>
      <c r="H117" s="771">
        <v>0.03</v>
      </c>
      <c r="I117" s="772">
        <v>2616</v>
      </c>
      <c r="J117" s="790"/>
      <c r="K117" s="785"/>
      <c r="L117" s="785"/>
      <c r="M117" s="785"/>
      <c r="N117" s="785"/>
    </row>
    <row r="118" spans="2:20" ht="15.75">
      <c r="B118" s="792" t="s">
        <v>75</v>
      </c>
      <c r="C118" s="768">
        <v>0.05</v>
      </c>
      <c r="D118" s="768">
        <v>0.02</v>
      </c>
      <c r="E118" s="768">
        <v>7.0000000000000007E-2</v>
      </c>
      <c r="F118" s="768">
        <v>0.32</v>
      </c>
      <c r="G118" s="768">
        <v>0.44</v>
      </c>
      <c r="H118" s="768">
        <v>7.0000000000000007E-2</v>
      </c>
      <c r="I118" s="769">
        <v>2108</v>
      </c>
      <c r="J118" s="790"/>
      <c r="K118" s="785"/>
      <c r="L118" s="785"/>
      <c r="M118" s="785"/>
      <c r="N118" s="785"/>
    </row>
    <row r="119" spans="2:20" ht="15.75">
      <c r="B119" s="791" t="s">
        <v>73</v>
      </c>
      <c r="C119" s="771">
        <v>0.35</v>
      </c>
      <c r="D119" s="771">
        <v>0.16</v>
      </c>
      <c r="E119" s="771">
        <v>0.17</v>
      </c>
      <c r="F119" s="771">
        <v>0.13</v>
      </c>
      <c r="G119" s="771">
        <v>0.15</v>
      </c>
      <c r="H119" s="771">
        <v>0.01</v>
      </c>
      <c r="I119" s="772">
        <v>1600</v>
      </c>
      <c r="J119" s="790"/>
      <c r="K119" s="785"/>
      <c r="L119" s="785"/>
      <c r="M119" s="785"/>
      <c r="N119" s="785"/>
    </row>
    <row r="120" spans="2:20" ht="15.75">
      <c r="B120" s="792" t="s">
        <v>126</v>
      </c>
      <c r="C120" s="768">
        <v>0.52</v>
      </c>
      <c r="D120" s="768">
        <v>0.04</v>
      </c>
      <c r="E120" s="768">
        <v>0.08</v>
      </c>
      <c r="F120" s="768">
        <v>0.09</v>
      </c>
      <c r="G120" s="768">
        <v>0.21</v>
      </c>
      <c r="H120" s="768">
        <v>0.02</v>
      </c>
      <c r="I120" s="769">
        <v>1123</v>
      </c>
      <c r="J120" s="790"/>
      <c r="K120" s="785"/>
      <c r="L120" s="785"/>
      <c r="M120" s="785"/>
      <c r="N120" s="785"/>
    </row>
    <row r="121" spans="2:20" ht="15.75">
      <c r="B121" s="791" t="s">
        <v>141</v>
      </c>
      <c r="C121" s="771">
        <v>7.0000000000000007E-2</v>
      </c>
      <c r="D121" s="771">
        <v>0.06</v>
      </c>
      <c r="E121" s="771">
        <v>0.09</v>
      </c>
      <c r="F121" s="771">
        <v>0.42</v>
      </c>
      <c r="G121" s="771">
        <v>0.28999999999999998</v>
      </c>
      <c r="H121" s="771">
        <v>0.05</v>
      </c>
      <c r="I121" s="772">
        <v>955</v>
      </c>
      <c r="J121" s="790"/>
      <c r="K121" s="785"/>
      <c r="L121" s="785"/>
      <c r="M121" s="785"/>
      <c r="N121" s="785"/>
      <c r="O121" s="328"/>
      <c r="P121" s="328"/>
      <c r="Q121" s="328"/>
      <c r="R121" s="328"/>
      <c r="S121" s="328"/>
      <c r="T121" s="328"/>
    </row>
    <row r="122" spans="2:20" ht="15.75">
      <c r="B122" s="792" t="s">
        <v>140</v>
      </c>
      <c r="C122" s="768">
        <v>0</v>
      </c>
      <c r="D122" s="768">
        <v>0.01</v>
      </c>
      <c r="E122" s="768">
        <v>0.01</v>
      </c>
      <c r="F122" s="768">
        <v>0.36</v>
      </c>
      <c r="G122" s="768">
        <v>0.45</v>
      </c>
      <c r="H122" s="768">
        <v>0.14000000000000001</v>
      </c>
      <c r="I122" s="769">
        <v>900</v>
      </c>
      <c r="J122" s="790"/>
      <c r="K122" s="328"/>
      <c r="L122" s="328"/>
      <c r="M122" s="328"/>
      <c r="N122" s="328"/>
      <c r="O122" s="785"/>
      <c r="P122" s="785"/>
      <c r="Q122" s="785"/>
      <c r="R122" s="785"/>
      <c r="S122" s="785"/>
      <c r="T122" s="785"/>
    </row>
    <row r="123" spans="2:20" ht="15.75">
      <c r="B123" s="791" t="s">
        <v>368</v>
      </c>
      <c r="C123" s="771">
        <v>0.59</v>
      </c>
      <c r="D123" s="771">
        <v>0.21</v>
      </c>
      <c r="E123" s="771">
        <v>0.06</v>
      </c>
      <c r="F123" s="771">
        <v>0.05</v>
      </c>
      <c r="G123" s="771">
        <v>0.04</v>
      </c>
      <c r="H123" s="771">
        <v>0</v>
      </c>
      <c r="I123" s="772">
        <v>851</v>
      </c>
      <c r="J123" s="790"/>
      <c r="K123" s="328"/>
      <c r="L123" s="328"/>
      <c r="M123" s="328"/>
      <c r="N123" s="328"/>
      <c r="O123" s="328"/>
      <c r="P123" s="328"/>
      <c r="Q123" s="328"/>
      <c r="R123" s="328"/>
      <c r="S123" s="328"/>
      <c r="T123" s="328"/>
    </row>
    <row r="124" spans="2:20" ht="15.75">
      <c r="B124" s="792" t="s">
        <v>91</v>
      </c>
      <c r="C124" s="768">
        <v>0.12</v>
      </c>
      <c r="D124" s="768">
        <v>0.14000000000000001</v>
      </c>
      <c r="E124" s="768">
        <v>0.2</v>
      </c>
      <c r="F124" s="768">
        <v>0.22</v>
      </c>
      <c r="G124" s="768">
        <v>0.24</v>
      </c>
      <c r="H124" s="768">
        <v>0.04</v>
      </c>
      <c r="I124" s="769">
        <v>743</v>
      </c>
      <c r="J124" s="790"/>
      <c r="K124" s="328"/>
      <c r="L124" s="328"/>
      <c r="M124" s="328"/>
      <c r="N124" s="328"/>
      <c r="O124" s="328"/>
      <c r="P124" s="328"/>
      <c r="Q124" s="328"/>
      <c r="R124" s="328"/>
      <c r="S124" s="328"/>
      <c r="T124" s="328"/>
    </row>
    <row r="125" spans="2:20" ht="15.75">
      <c r="B125" s="793" t="s">
        <v>83</v>
      </c>
      <c r="C125" s="794">
        <v>7.0000000000000007E-2</v>
      </c>
      <c r="D125" s="794">
        <v>0.04</v>
      </c>
      <c r="E125" s="794">
        <v>0.05</v>
      </c>
      <c r="F125" s="794">
        <v>0.25</v>
      </c>
      <c r="G125" s="794">
        <v>0.54</v>
      </c>
      <c r="H125" s="794">
        <v>0.03</v>
      </c>
      <c r="I125" s="795">
        <v>704</v>
      </c>
      <c r="J125" s="790"/>
      <c r="K125" s="328"/>
      <c r="L125" s="328"/>
      <c r="M125" s="328"/>
      <c r="N125" s="328"/>
      <c r="O125" s="328"/>
      <c r="P125" s="328"/>
      <c r="Q125" s="328"/>
      <c r="R125" s="328"/>
      <c r="S125" s="328"/>
      <c r="T125" s="328"/>
    </row>
    <row r="126" spans="2:20" ht="15.75">
      <c r="B126" s="783"/>
      <c r="C126" s="785"/>
      <c r="D126" s="785"/>
      <c r="E126" s="785"/>
      <c r="F126" s="785"/>
      <c r="G126" s="785"/>
      <c r="H126" s="328"/>
      <c r="I126" s="328"/>
      <c r="J126" s="328"/>
      <c r="K126" s="328"/>
      <c r="L126" s="328"/>
      <c r="M126" s="328"/>
      <c r="N126" s="328"/>
      <c r="O126" s="328"/>
      <c r="P126" s="328"/>
      <c r="Q126" s="328"/>
      <c r="R126" s="328"/>
      <c r="S126" s="328"/>
      <c r="T126" s="328"/>
    </row>
    <row r="128" spans="2:20" ht="23.25">
      <c r="B128" s="127" t="s">
        <v>861</v>
      </c>
      <c r="C128" s="328"/>
      <c r="D128" s="328"/>
      <c r="E128" s="328"/>
      <c r="F128" s="328"/>
      <c r="G128" s="328"/>
      <c r="H128" s="328"/>
      <c r="I128" s="328"/>
      <c r="J128" s="328"/>
      <c r="K128" s="328"/>
      <c r="L128" s="328"/>
      <c r="M128" s="328"/>
      <c r="N128" s="328"/>
      <c r="O128" s="328"/>
      <c r="P128" s="328"/>
      <c r="Q128" s="328"/>
      <c r="R128" s="328"/>
      <c r="S128" s="328"/>
      <c r="T128" s="328"/>
    </row>
    <row r="129" spans="2:20" ht="15.75">
      <c r="B129" s="778" t="s">
        <v>405</v>
      </c>
      <c r="C129" s="328"/>
      <c r="D129" s="328"/>
      <c r="E129" s="328"/>
      <c r="F129" s="328"/>
      <c r="G129" s="328"/>
      <c r="H129" s="328"/>
      <c r="I129" s="328"/>
      <c r="J129" s="328"/>
      <c r="K129" s="328"/>
      <c r="L129" s="328"/>
      <c r="M129" s="328"/>
      <c r="N129" s="328"/>
      <c r="O129" s="328"/>
      <c r="P129" s="328"/>
      <c r="Q129" s="328"/>
      <c r="R129" s="328"/>
      <c r="S129" s="328"/>
      <c r="T129" s="328"/>
    </row>
    <row r="130" spans="2:20" ht="26.25">
      <c r="B130" s="746" t="s">
        <v>36</v>
      </c>
      <c r="C130" s="747" t="s">
        <v>37</v>
      </c>
      <c r="D130" s="747" t="s">
        <v>38</v>
      </c>
      <c r="E130" s="747" t="s">
        <v>6</v>
      </c>
      <c r="F130" s="747" t="s">
        <v>39</v>
      </c>
      <c r="G130" s="796" t="s">
        <v>7</v>
      </c>
      <c r="H130" s="748" t="s">
        <v>40</v>
      </c>
      <c r="I130" s="328"/>
      <c r="J130" s="328"/>
      <c r="K130" s="328"/>
      <c r="L130" s="328"/>
      <c r="M130" s="328"/>
      <c r="N130" s="328"/>
      <c r="O130" s="328"/>
      <c r="P130" s="328"/>
      <c r="Q130" s="328"/>
      <c r="R130" s="328"/>
      <c r="S130" s="328"/>
    </row>
    <row r="131" spans="2:20" ht="15.75">
      <c r="B131" s="749" t="s">
        <v>95</v>
      </c>
      <c r="C131" s="797">
        <v>348</v>
      </c>
      <c r="D131" s="797">
        <v>429</v>
      </c>
      <c r="E131" s="797">
        <v>769</v>
      </c>
      <c r="F131" s="798">
        <v>0.04</v>
      </c>
      <c r="G131" s="797">
        <v>864</v>
      </c>
      <c r="H131" s="798">
        <v>-0.10995370370370371</v>
      </c>
      <c r="I131" s="328"/>
      <c r="J131" s="328"/>
      <c r="K131" s="328"/>
      <c r="L131" s="328"/>
      <c r="M131" s="328"/>
      <c r="N131" s="328"/>
      <c r="O131" s="328"/>
      <c r="P131" s="328"/>
      <c r="Q131" s="328"/>
      <c r="R131" s="328"/>
      <c r="S131" s="328"/>
    </row>
    <row r="132" spans="2:20" ht="15.75">
      <c r="B132" s="752" t="s">
        <v>112</v>
      </c>
      <c r="C132" s="753">
        <v>1478</v>
      </c>
      <c r="D132" s="753">
        <v>1316</v>
      </c>
      <c r="E132" s="753">
        <v>2791</v>
      </c>
      <c r="F132" s="799">
        <v>0.13</v>
      </c>
      <c r="G132" s="753">
        <v>2512</v>
      </c>
      <c r="H132" s="799">
        <v>0.11106687898089172</v>
      </c>
      <c r="I132" s="328"/>
      <c r="J132" s="328"/>
      <c r="K132" s="328"/>
      <c r="L132" s="328"/>
      <c r="M132" s="328"/>
      <c r="N132" s="328"/>
      <c r="O132" s="328"/>
      <c r="P132" s="328"/>
      <c r="Q132" s="328"/>
      <c r="R132" s="328"/>
      <c r="S132" s="328"/>
    </row>
    <row r="133" spans="2:20" ht="15.75">
      <c r="B133" s="755" t="s">
        <v>52</v>
      </c>
      <c r="C133" s="750">
        <v>799</v>
      </c>
      <c r="D133" s="750">
        <v>968</v>
      </c>
      <c r="E133" s="750">
        <v>1771</v>
      </c>
      <c r="F133" s="800">
        <v>0.08</v>
      </c>
      <c r="G133" s="750">
        <v>1146</v>
      </c>
      <c r="H133" s="800">
        <v>0.54537521815008727</v>
      </c>
      <c r="I133" s="328"/>
      <c r="J133" s="328"/>
      <c r="K133" s="328"/>
      <c r="L133" s="328"/>
      <c r="M133" s="328"/>
      <c r="N133" s="328"/>
      <c r="O133" s="328"/>
      <c r="P133" s="328"/>
      <c r="Q133" s="328"/>
      <c r="R133" s="328"/>
      <c r="S133" s="328"/>
    </row>
    <row r="134" spans="2:20" ht="15.75">
      <c r="B134" s="752" t="s">
        <v>53</v>
      </c>
      <c r="C134" s="753">
        <v>699</v>
      </c>
      <c r="D134" s="753">
        <v>910</v>
      </c>
      <c r="E134" s="753">
        <v>1609</v>
      </c>
      <c r="F134" s="799">
        <v>0.08</v>
      </c>
      <c r="G134" s="753">
        <v>915</v>
      </c>
      <c r="H134" s="799">
        <v>0.7584699453551913</v>
      </c>
      <c r="I134" s="328"/>
      <c r="J134" s="328"/>
      <c r="K134" s="328"/>
      <c r="L134" s="328"/>
      <c r="M134" s="328"/>
      <c r="N134" s="328"/>
      <c r="O134" s="328"/>
      <c r="P134" s="328"/>
      <c r="Q134" s="328"/>
      <c r="R134" s="328"/>
      <c r="S134" s="328"/>
    </row>
    <row r="135" spans="2:20">
      <c r="B135" s="755" t="s">
        <v>54</v>
      </c>
      <c r="C135" s="750">
        <v>520</v>
      </c>
      <c r="D135" s="750">
        <v>653</v>
      </c>
      <c r="E135" s="750">
        <v>1168</v>
      </c>
      <c r="F135" s="800">
        <v>0.06</v>
      </c>
      <c r="G135" s="750">
        <v>752</v>
      </c>
      <c r="H135" s="800">
        <v>2.5287009063444108</v>
      </c>
    </row>
    <row r="136" spans="2:20">
      <c r="B136" s="752" t="s">
        <v>148</v>
      </c>
      <c r="C136" s="753">
        <v>501</v>
      </c>
      <c r="D136" s="753">
        <v>458</v>
      </c>
      <c r="E136" s="753">
        <v>962</v>
      </c>
      <c r="F136" s="799">
        <v>0.05</v>
      </c>
      <c r="G136" s="753">
        <v>331</v>
      </c>
      <c r="H136" s="799">
        <v>0.2982456140350877</v>
      </c>
    </row>
    <row r="137" spans="2:20">
      <c r="B137" s="755" t="s">
        <v>113</v>
      </c>
      <c r="C137" s="750">
        <v>338</v>
      </c>
      <c r="D137" s="750">
        <v>472</v>
      </c>
      <c r="E137" s="750">
        <v>810</v>
      </c>
      <c r="F137" s="800">
        <v>0.04</v>
      </c>
      <c r="G137" s="750">
        <v>741</v>
      </c>
      <c r="H137" s="800">
        <v>9.3117408906882596E-2</v>
      </c>
    </row>
    <row r="138" spans="2:20">
      <c r="B138" s="752" t="s">
        <v>47</v>
      </c>
      <c r="C138" s="753">
        <v>369</v>
      </c>
      <c r="D138" s="753">
        <v>344</v>
      </c>
      <c r="E138" s="753">
        <v>716</v>
      </c>
      <c r="F138" s="799">
        <v>0.03</v>
      </c>
      <c r="G138" s="753">
        <v>310</v>
      </c>
      <c r="H138" s="799">
        <v>1.3096774193548386</v>
      </c>
    </row>
    <row r="139" spans="2:20">
      <c r="B139" s="755" t="s">
        <v>100</v>
      </c>
      <c r="C139" s="750">
        <v>278</v>
      </c>
      <c r="D139" s="750">
        <v>313</v>
      </c>
      <c r="E139" s="750">
        <v>588</v>
      </c>
      <c r="F139" s="800">
        <v>0.03</v>
      </c>
      <c r="G139" s="750">
        <v>445</v>
      </c>
      <c r="H139" s="800">
        <v>0.32134831460674157</v>
      </c>
    </row>
    <row r="140" spans="2:20">
      <c r="B140" s="801" t="s">
        <v>104</v>
      </c>
      <c r="C140" s="802">
        <v>278</v>
      </c>
      <c r="D140" s="802">
        <v>316</v>
      </c>
      <c r="E140" s="802">
        <v>587</v>
      </c>
      <c r="F140" s="803">
        <v>0.03</v>
      </c>
      <c r="G140" s="802">
        <v>532</v>
      </c>
      <c r="H140" s="803">
        <v>0.10338345864661654</v>
      </c>
    </row>
    <row r="141" spans="2:20">
      <c r="B141" s="749" t="s">
        <v>96</v>
      </c>
      <c r="C141" s="797">
        <v>296</v>
      </c>
      <c r="D141" s="797">
        <v>224</v>
      </c>
      <c r="E141" s="797">
        <v>524</v>
      </c>
      <c r="F141" s="798">
        <v>0.02</v>
      </c>
      <c r="G141" s="797">
        <v>233</v>
      </c>
      <c r="H141" s="798">
        <v>1.2489270386266094</v>
      </c>
    </row>
    <row r="142" spans="2:20">
      <c r="B142" s="752" t="s">
        <v>107</v>
      </c>
      <c r="C142" s="753">
        <v>169</v>
      </c>
      <c r="D142" s="753">
        <v>325</v>
      </c>
      <c r="E142" s="753">
        <v>489</v>
      </c>
      <c r="F142" s="799">
        <v>0.02</v>
      </c>
      <c r="G142" s="753">
        <v>412</v>
      </c>
      <c r="H142" s="799">
        <v>6.0737527114967459E-2</v>
      </c>
    </row>
    <row r="143" spans="2:20">
      <c r="B143" s="755" t="s">
        <v>98</v>
      </c>
      <c r="C143" s="750">
        <v>246</v>
      </c>
      <c r="D143" s="750">
        <v>230</v>
      </c>
      <c r="E143" s="750">
        <v>479</v>
      </c>
      <c r="F143" s="800">
        <v>0.02</v>
      </c>
      <c r="G143" s="750">
        <v>461</v>
      </c>
      <c r="H143" s="800">
        <v>-0.10634328358208955</v>
      </c>
    </row>
    <row r="144" spans="2:20">
      <c r="B144" s="752" t="s">
        <v>406</v>
      </c>
      <c r="C144" s="753">
        <v>238</v>
      </c>
      <c r="D144" s="753">
        <v>222</v>
      </c>
      <c r="E144" s="753">
        <v>457</v>
      </c>
      <c r="F144" s="799">
        <v>0.02</v>
      </c>
      <c r="G144" s="753">
        <v>536</v>
      </c>
      <c r="H144" s="799">
        <v>0.1994750656167979</v>
      </c>
    </row>
    <row r="145" spans="2:8">
      <c r="B145" s="755" t="s">
        <v>97</v>
      </c>
      <c r="C145" s="750">
        <v>175</v>
      </c>
      <c r="D145" s="750">
        <v>223</v>
      </c>
      <c r="E145" s="750">
        <v>405</v>
      </c>
      <c r="F145" s="800">
        <v>0.02</v>
      </c>
      <c r="G145" s="750">
        <v>381</v>
      </c>
      <c r="H145" s="800">
        <v>6.2992125984251968E-2</v>
      </c>
    </row>
    <row r="146" spans="2:8">
      <c r="B146" s="752" t="s">
        <v>194</v>
      </c>
      <c r="C146" s="753">
        <v>183</v>
      </c>
      <c r="D146" s="753">
        <v>193</v>
      </c>
      <c r="E146" s="753">
        <v>382</v>
      </c>
      <c r="F146" s="799">
        <v>0.02</v>
      </c>
      <c r="G146" s="753">
        <v>404</v>
      </c>
      <c r="H146" s="799">
        <v>-5.4455445544554455E-2</v>
      </c>
    </row>
    <row r="147" spans="2:8">
      <c r="B147" s="755" t="s">
        <v>105</v>
      </c>
      <c r="C147" s="750">
        <v>181</v>
      </c>
      <c r="D147" s="750">
        <v>185</v>
      </c>
      <c r="E147" s="750">
        <v>369</v>
      </c>
      <c r="F147" s="800">
        <v>0.02</v>
      </c>
      <c r="G147" s="750">
        <v>213</v>
      </c>
      <c r="H147" s="800">
        <v>0.73239436619718312</v>
      </c>
    </row>
    <row r="148" spans="2:8">
      <c r="B148" s="752" t="s">
        <v>407</v>
      </c>
      <c r="C148" s="753">
        <v>207</v>
      </c>
      <c r="D148" s="753">
        <v>161</v>
      </c>
      <c r="E148" s="753">
        <v>368</v>
      </c>
      <c r="F148" s="799">
        <v>0.02</v>
      </c>
      <c r="G148" s="753">
        <v>181</v>
      </c>
      <c r="H148" s="799">
        <v>1.0331491712707181</v>
      </c>
    </row>
    <row r="149" spans="2:8">
      <c r="B149" s="755" t="s">
        <v>55</v>
      </c>
      <c r="C149" s="750">
        <v>214</v>
      </c>
      <c r="D149" s="750">
        <v>151</v>
      </c>
      <c r="E149" s="750">
        <v>360</v>
      </c>
      <c r="F149" s="800">
        <v>0.02</v>
      </c>
      <c r="G149" s="750">
        <v>187</v>
      </c>
      <c r="H149" s="800">
        <v>0.92513368983957223</v>
      </c>
    </row>
    <row r="150" spans="2:8">
      <c r="B150" s="780" t="s">
        <v>99</v>
      </c>
      <c r="C150" s="781">
        <v>153</v>
      </c>
      <c r="D150" s="781">
        <v>187</v>
      </c>
      <c r="E150" s="781">
        <v>343</v>
      </c>
      <c r="F150" s="804">
        <v>0.02</v>
      </c>
      <c r="G150" s="781">
        <v>141</v>
      </c>
      <c r="H150" s="804">
        <v>1.4326241134751774</v>
      </c>
    </row>
    <row r="151" spans="2:8">
      <c r="B151" s="805" t="s">
        <v>108</v>
      </c>
      <c r="C151" s="806">
        <v>188</v>
      </c>
      <c r="D151" s="806">
        <v>125</v>
      </c>
      <c r="E151" s="806">
        <v>316</v>
      </c>
      <c r="F151" s="807">
        <v>0.01</v>
      </c>
      <c r="G151" s="808">
        <v>106</v>
      </c>
      <c r="H151" s="809">
        <v>1.9811320754716981</v>
      </c>
    </row>
    <row r="152" spans="2:8">
      <c r="B152" s="752" t="s">
        <v>408</v>
      </c>
      <c r="C152" s="753">
        <v>201</v>
      </c>
      <c r="D152" s="753">
        <v>114</v>
      </c>
      <c r="E152" s="753">
        <v>312</v>
      </c>
      <c r="F152" s="810">
        <v>0.01</v>
      </c>
      <c r="G152" s="811">
        <v>115</v>
      </c>
      <c r="H152" s="812">
        <v>1.7130434782608697</v>
      </c>
    </row>
    <row r="153" spans="2:8">
      <c r="B153" s="755" t="s">
        <v>106</v>
      </c>
      <c r="C153" s="750">
        <v>174</v>
      </c>
      <c r="D153" s="750">
        <v>104</v>
      </c>
      <c r="E153" s="750">
        <v>280</v>
      </c>
      <c r="F153" s="813">
        <v>0.01</v>
      </c>
      <c r="G153" s="814">
        <v>136</v>
      </c>
      <c r="H153" s="800">
        <v>1.0588235294117647</v>
      </c>
    </row>
    <row r="154" spans="2:8">
      <c r="B154" s="752" t="s">
        <v>103</v>
      </c>
      <c r="C154" s="753">
        <v>135</v>
      </c>
      <c r="D154" s="753">
        <v>121</v>
      </c>
      <c r="E154" s="753">
        <v>260</v>
      </c>
      <c r="F154" s="810">
        <v>0.01</v>
      </c>
      <c r="G154" s="815">
        <v>191</v>
      </c>
      <c r="H154" s="799">
        <v>0.36125654450261779</v>
      </c>
    </row>
    <row r="155" spans="2:8">
      <c r="B155" s="755" t="s">
        <v>110</v>
      </c>
      <c r="C155" s="750">
        <v>144</v>
      </c>
      <c r="D155" s="750">
        <v>78</v>
      </c>
      <c r="E155" s="750">
        <v>216</v>
      </c>
      <c r="F155" s="813">
        <v>0.01</v>
      </c>
      <c r="G155" s="814">
        <v>220</v>
      </c>
      <c r="H155" s="800">
        <v>-1.8181818181818181E-2</v>
      </c>
    </row>
    <row r="156" spans="2:8">
      <c r="B156" s="752" t="s">
        <v>109</v>
      </c>
      <c r="C156" s="753">
        <v>112</v>
      </c>
      <c r="D156" s="753">
        <v>108</v>
      </c>
      <c r="E156" s="753">
        <v>214</v>
      </c>
      <c r="F156" s="810">
        <v>0.01</v>
      </c>
      <c r="G156" s="815">
        <v>128</v>
      </c>
      <c r="H156" s="799">
        <v>0.671875</v>
      </c>
    </row>
    <row r="157" spans="2:8">
      <c r="B157" s="755" t="s">
        <v>193</v>
      </c>
      <c r="C157" s="750">
        <v>93</v>
      </c>
      <c r="D157" s="750">
        <v>83</v>
      </c>
      <c r="E157" s="750">
        <v>168</v>
      </c>
      <c r="F157" s="813">
        <v>0.01</v>
      </c>
      <c r="G157" s="814">
        <v>61</v>
      </c>
      <c r="H157" s="800">
        <v>1.7540983606557377</v>
      </c>
    </row>
    <row r="158" spans="2:8">
      <c r="B158" s="752" t="s">
        <v>409</v>
      </c>
      <c r="C158" s="753">
        <v>88</v>
      </c>
      <c r="D158" s="753">
        <v>74</v>
      </c>
      <c r="E158" s="753">
        <v>161</v>
      </c>
      <c r="F158" s="810">
        <v>0.01</v>
      </c>
      <c r="G158" s="815">
        <v>71</v>
      </c>
      <c r="H158" s="799">
        <v>1.267605633802817</v>
      </c>
    </row>
    <row r="159" spans="2:8">
      <c r="B159" s="755" t="s">
        <v>235</v>
      </c>
      <c r="C159" s="750">
        <v>80</v>
      </c>
      <c r="D159" s="750">
        <v>77</v>
      </c>
      <c r="E159" s="750">
        <v>158</v>
      </c>
      <c r="F159" s="813">
        <v>0.01</v>
      </c>
      <c r="G159" s="814">
        <v>123</v>
      </c>
      <c r="H159" s="800">
        <v>0.28455284552845528</v>
      </c>
    </row>
    <row r="160" spans="2:8">
      <c r="B160" s="801" t="s">
        <v>410</v>
      </c>
      <c r="C160" s="802">
        <v>65</v>
      </c>
      <c r="D160" s="802">
        <v>61</v>
      </c>
      <c r="E160" s="802">
        <v>128</v>
      </c>
      <c r="F160" s="816">
        <v>0.01</v>
      </c>
      <c r="G160" s="817">
        <v>107</v>
      </c>
      <c r="H160" s="803">
        <v>0</v>
      </c>
    </row>
    <row r="161" spans="2:9">
      <c r="B161" s="818" t="s">
        <v>189</v>
      </c>
      <c r="C161" s="819">
        <v>66</v>
      </c>
      <c r="D161" s="819">
        <v>67</v>
      </c>
      <c r="E161" s="819">
        <v>127</v>
      </c>
      <c r="F161" s="820">
        <v>0.01</v>
      </c>
      <c r="G161" s="821">
        <v>138</v>
      </c>
      <c r="H161" s="822">
        <v>-7.9710144927536225E-2</v>
      </c>
    </row>
    <row r="162" spans="2:9">
      <c r="B162" s="823" t="s">
        <v>411</v>
      </c>
      <c r="C162" s="824">
        <v>1429</v>
      </c>
      <c r="D162" s="824">
        <v>1348</v>
      </c>
      <c r="E162" s="824">
        <v>2832</v>
      </c>
      <c r="F162" s="825">
        <v>0.13</v>
      </c>
      <c r="G162" s="826">
        <v>2198</v>
      </c>
      <c r="H162" s="827">
        <v>0.73379629629629628</v>
      </c>
    </row>
    <row r="163" spans="2:9">
      <c r="B163" s="760" t="s">
        <v>874</v>
      </c>
      <c r="C163" s="828">
        <v>10447</v>
      </c>
      <c r="D163" s="828">
        <v>10688</v>
      </c>
      <c r="E163" s="828">
        <v>21141</v>
      </c>
      <c r="F163" s="829">
        <v>1</v>
      </c>
      <c r="G163" s="1225">
        <v>15291</v>
      </c>
      <c r="H163" s="830">
        <v>6.770833333333333</v>
      </c>
    </row>
    <row r="164" spans="2:9">
      <c r="B164" s="389" t="s">
        <v>873</v>
      </c>
      <c r="C164" s="831"/>
      <c r="D164" s="831"/>
      <c r="E164" s="831"/>
      <c r="F164" s="832"/>
      <c r="G164" s="1226"/>
      <c r="H164" s="831"/>
      <c r="I164" s="833"/>
    </row>
    <row r="165" spans="2:9">
      <c r="B165" s="784"/>
      <c r="C165" s="784"/>
      <c r="D165" s="784"/>
      <c r="E165" s="784"/>
      <c r="F165" s="834"/>
      <c r="G165" s="835"/>
      <c r="H165" s="784"/>
      <c r="I165" s="784"/>
    </row>
    <row r="166" spans="2:9" ht="23.25">
      <c r="B166" s="127" t="s">
        <v>862</v>
      </c>
      <c r="C166" s="328"/>
      <c r="D166" s="328"/>
      <c r="E166" s="328"/>
      <c r="F166" s="328"/>
      <c r="G166" s="328"/>
      <c r="H166" s="328"/>
      <c r="I166" s="328"/>
    </row>
    <row r="167" spans="2:9" ht="15.75">
      <c r="B167" s="778" t="s">
        <v>825</v>
      </c>
      <c r="C167" s="328"/>
      <c r="D167" s="328"/>
      <c r="E167" s="328"/>
      <c r="F167" s="328"/>
      <c r="G167" s="328"/>
      <c r="H167" s="328"/>
      <c r="I167" s="328"/>
    </row>
    <row r="168" spans="2:9">
      <c r="B168" s="140" t="s">
        <v>36</v>
      </c>
      <c r="C168" s="145" t="s">
        <v>42</v>
      </c>
      <c r="D168" s="145" t="s">
        <v>43</v>
      </c>
      <c r="E168" s="145" t="s">
        <v>44</v>
      </c>
      <c r="F168" s="145" t="s">
        <v>45</v>
      </c>
      <c r="G168" s="145" t="s">
        <v>46</v>
      </c>
      <c r="H168" s="145" t="s">
        <v>28</v>
      </c>
    </row>
    <row r="169" spans="2:9" ht="15" customHeight="1">
      <c r="B169" s="185" t="s">
        <v>112</v>
      </c>
      <c r="C169" s="186"/>
      <c r="D169" s="186"/>
      <c r="E169" s="186"/>
      <c r="F169" s="186"/>
      <c r="G169" s="836"/>
      <c r="H169" s="837"/>
    </row>
    <row r="170" spans="2:9" ht="15" customHeight="1">
      <c r="B170" s="188" t="s">
        <v>48</v>
      </c>
      <c r="C170" s="209">
        <v>414</v>
      </c>
      <c r="D170" s="209">
        <v>321</v>
      </c>
      <c r="E170" s="209">
        <v>773</v>
      </c>
      <c r="F170" s="209">
        <v>561</v>
      </c>
      <c r="G170" s="838">
        <v>196</v>
      </c>
      <c r="H170" s="839">
        <v>2268</v>
      </c>
    </row>
    <row r="171" spans="2:9" ht="15" customHeight="1">
      <c r="B171" s="191" t="s">
        <v>49</v>
      </c>
      <c r="C171" s="207">
        <v>77</v>
      </c>
      <c r="D171" s="207">
        <v>16</v>
      </c>
      <c r="E171" s="207">
        <v>104</v>
      </c>
      <c r="F171" s="207">
        <v>110</v>
      </c>
      <c r="G171" s="840">
        <v>173</v>
      </c>
      <c r="H171" s="841">
        <v>480</v>
      </c>
    </row>
    <row r="172" spans="2:9" ht="15" customHeight="1">
      <c r="B172" s="188" t="s">
        <v>50</v>
      </c>
      <c r="C172" s="209">
        <v>505</v>
      </c>
      <c r="D172" s="209">
        <v>341</v>
      </c>
      <c r="E172" s="209">
        <v>888</v>
      </c>
      <c r="F172" s="209">
        <v>676</v>
      </c>
      <c r="G172" s="838">
        <v>376</v>
      </c>
      <c r="H172" s="839">
        <v>2789</v>
      </c>
    </row>
    <row r="173" spans="2:9" ht="15" customHeight="1">
      <c r="B173" s="194" t="s">
        <v>51</v>
      </c>
      <c r="C173" s="96">
        <v>0.152475247524752</v>
      </c>
      <c r="D173" s="96">
        <v>4.6920821114369501E-2</v>
      </c>
      <c r="E173" s="96">
        <v>0.117117117117117</v>
      </c>
      <c r="F173" s="96">
        <v>0.16272189349112401</v>
      </c>
      <c r="G173" s="316">
        <v>0.46010638297872303</v>
      </c>
      <c r="H173" s="319">
        <v>0.17210469702402301</v>
      </c>
    </row>
    <row r="174" spans="2:9" ht="15" customHeight="1">
      <c r="B174" s="195" t="s">
        <v>148</v>
      </c>
      <c r="C174" s="196"/>
      <c r="D174" s="196"/>
      <c r="E174" s="196"/>
      <c r="F174" s="196"/>
      <c r="G174" s="842"/>
      <c r="H174" s="843"/>
    </row>
    <row r="175" spans="2:9" ht="15" customHeight="1">
      <c r="B175" s="191" t="s">
        <v>48</v>
      </c>
      <c r="C175" s="241">
        <v>80</v>
      </c>
      <c r="D175" s="241">
        <v>170</v>
      </c>
      <c r="E175" s="241">
        <v>609</v>
      </c>
      <c r="F175" s="241">
        <v>21</v>
      </c>
      <c r="G175" s="321">
        <v>0</v>
      </c>
      <c r="H175" s="844">
        <v>879</v>
      </c>
    </row>
    <row r="176" spans="2:9" ht="15" customHeight="1">
      <c r="B176" s="188" t="s">
        <v>49</v>
      </c>
      <c r="C176" s="238">
        <v>30</v>
      </c>
      <c r="D176" s="238">
        <v>3</v>
      </c>
      <c r="E176" s="238">
        <v>14</v>
      </c>
      <c r="F176" s="238">
        <v>13</v>
      </c>
      <c r="G176" s="320">
        <v>9</v>
      </c>
      <c r="H176" s="845">
        <v>70</v>
      </c>
    </row>
    <row r="177" spans="2:8" ht="15" customHeight="1">
      <c r="B177" s="191" t="s">
        <v>50</v>
      </c>
      <c r="C177" s="241">
        <v>114</v>
      </c>
      <c r="D177" s="241">
        <v>176</v>
      </c>
      <c r="E177" s="241">
        <v>630</v>
      </c>
      <c r="F177" s="241">
        <v>34</v>
      </c>
      <c r="G177" s="321">
        <v>9</v>
      </c>
      <c r="H177" s="844">
        <v>957</v>
      </c>
    </row>
    <row r="178" spans="2:8" ht="15" customHeight="1">
      <c r="B178" s="202" t="s">
        <v>51</v>
      </c>
      <c r="C178" s="101">
        <v>0.26315789473684198</v>
      </c>
      <c r="D178" s="101">
        <v>1.7045454545454499E-2</v>
      </c>
      <c r="E178" s="101">
        <v>2.2222222222222199E-2</v>
      </c>
      <c r="F178" s="101">
        <v>0.38235294117647101</v>
      </c>
      <c r="G178" s="317">
        <v>1</v>
      </c>
      <c r="H178" s="846">
        <v>7.3145245559038702E-2</v>
      </c>
    </row>
    <row r="179" spans="2:8" ht="15" customHeight="1">
      <c r="B179" s="185" t="s">
        <v>113</v>
      </c>
      <c r="C179" s="186"/>
      <c r="D179" s="186"/>
      <c r="E179" s="186"/>
      <c r="F179" s="186"/>
      <c r="G179" s="836"/>
      <c r="H179" s="847"/>
    </row>
    <row r="180" spans="2:8" ht="15" customHeight="1">
      <c r="B180" s="188" t="s">
        <v>48</v>
      </c>
      <c r="C180" s="238">
        <v>106</v>
      </c>
      <c r="D180" s="238">
        <v>103</v>
      </c>
      <c r="E180" s="239">
        <v>302</v>
      </c>
      <c r="F180" s="434">
        <v>160</v>
      </c>
      <c r="G180" s="320">
        <v>54</v>
      </c>
      <c r="H180" s="845">
        <v>721</v>
      </c>
    </row>
    <row r="181" spans="2:8" ht="15" customHeight="1">
      <c r="B181" s="191" t="s">
        <v>49</v>
      </c>
      <c r="C181" s="241">
        <v>25</v>
      </c>
      <c r="D181" s="241">
        <v>11</v>
      </c>
      <c r="E181" s="242">
        <v>25</v>
      </c>
      <c r="F181" s="241">
        <v>14</v>
      </c>
      <c r="G181" s="321">
        <v>13</v>
      </c>
      <c r="H181" s="844">
        <v>87</v>
      </c>
    </row>
    <row r="182" spans="2:8" ht="15" customHeight="1">
      <c r="B182" s="188" t="s">
        <v>50</v>
      </c>
      <c r="C182" s="238">
        <v>131</v>
      </c>
      <c r="D182" s="238">
        <v>114</v>
      </c>
      <c r="E182" s="238">
        <v>330</v>
      </c>
      <c r="F182" s="435">
        <v>174</v>
      </c>
      <c r="G182" s="320">
        <v>67</v>
      </c>
      <c r="H182" s="845">
        <v>813</v>
      </c>
    </row>
    <row r="183" spans="2:8" ht="15" customHeight="1">
      <c r="B183" s="194" t="s">
        <v>51</v>
      </c>
      <c r="C183" s="96">
        <v>0.19083969465648901</v>
      </c>
      <c r="D183" s="96">
        <v>9.6491228070175405E-2</v>
      </c>
      <c r="E183" s="96">
        <v>7.5757575757575801E-2</v>
      </c>
      <c r="F183" s="96">
        <v>8.04597701149425E-2</v>
      </c>
      <c r="G183" s="316">
        <v>0.19402985074626899</v>
      </c>
      <c r="H183" s="848">
        <v>0.107011070110701</v>
      </c>
    </row>
    <row r="184" spans="2:8" ht="15" customHeight="1">
      <c r="B184" s="195" t="s">
        <v>52</v>
      </c>
      <c r="C184" s="196"/>
      <c r="D184" s="196"/>
      <c r="E184" s="196"/>
      <c r="F184" s="196"/>
      <c r="G184" s="842"/>
      <c r="H184" s="843"/>
    </row>
    <row r="185" spans="2:8" ht="15" customHeight="1">
      <c r="B185" s="191" t="s">
        <v>48</v>
      </c>
      <c r="C185" s="241">
        <v>278</v>
      </c>
      <c r="D185" s="241">
        <v>237</v>
      </c>
      <c r="E185" s="241">
        <v>783</v>
      </c>
      <c r="F185" s="241">
        <v>348</v>
      </c>
      <c r="G185" s="321">
        <v>51</v>
      </c>
      <c r="H185" s="844">
        <v>1692</v>
      </c>
    </row>
    <row r="186" spans="2:8" ht="15" customHeight="1">
      <c r="B186" s="188" t="s">
        <v>49</v>
      </c>
      <c r="C186" s="238">
        <v>26</v>
      </c>
      <c r="D186" s="238">
        <v>4</v>
      </c>
      <c r="E186" s="238">
        <v>16</v>
      </c>
      <c r="F186" s="238">
        <v>17</v>
      </c>
      <c r="G186" s="320">
        <v>5</v>
      </c>
      <c r="H186" s="845">
        <v>61</v>
      </c>
    </row>
    <row r="187" spans="2:8" ht="15" customHeight="1">
      <c r="B187" s="191" t="s">
        <v>50</v>
      </c>
      <c r="C187" s="241">
        <v>309</v>
      </c>
      <c r="D187" s="241">
        <v>241</v>
      </c>
      <c r="E187" s="241">
        <v>807</v>
      </c>
      <c r="F187" s="241">
        <v>368</v>
      </c>
      <c r="G187" s="321">
        <v>59</v>
      </c>
      <c r="H187" s="844">
        <v>1775</v>
      </c>
    </row>
    <row r="188" spans="2:8" ht="15" customHeight="1">
      <c r="B188" s="202" t="s">
        <v>51</v>
      </c>
      <c r="C188" s="98">
        <v>8.41423948220065E-2</v>
      </c>
      <c r="D188" s="98">
        <v>1.6597510373444001E-2</v>
      </c>
      <c r="E188" s="98">
        <v>1.9826517967781902E-2</v>
      </c>
      <c r="F188" s="98">
        <v>4.6195652173912999E-2</v>
      </c>
      <c r="G188" s="318">
        <v>8.4745762711864403E-2</v>
      </c>
      <c r="H188" s="846">
        <v>3.43661971830986E-2</v>
      </c>
    </row>
    <row r="189" spans="2:8" ht="15" customHeight="1">
      <c r="B189" s="185" t="s">
        <v>54</v>
      </c>
      <c r="C189" s="186"/>
      <c r="D189" s="186"/>
      <c r="E189" s="186"/>
      <c r="F189" s="186"/>
      <c r="G189" s="836"/>
      <c r="H189" s="847"/>
    </row>
    <row r="190" spans="2:8" ht="15" customHeight="1">
      <c r="B190" s="188" t="s">
        <v>48</v>
      </c>
      <c r="C190" s="238">
        <v>138</v>
      </c>
      <c r="D190" s="238">
        <v>139</v>
      </c>
      <c r="E190" s="238">
        <v>525</v>
      </c>
      <c r="F190" s="238">
        <v>265</v>
      </c>
      <c r="G190" s="320">
        <v>43</v>
      </c>
      <c r="H190" s="845">
        <v>1117</v>
      </c>
    </row>
    <row r="191" spans="2:8" ht="15" customHeight="1">
      <c r="B191" s="191" t="s">
        <v>49</v>
      </c>
      <c r="C191" s="241">
        <v>21</v>
      </c>
      <c r="D191" s="241">
        <v>0</v>
      </c>
      <c r="E191" s="241">
        <v>4</v>
      </c>
      <c r="F191" s="241">
        <v>13</v>
      </c>
      <c r="G191" s="321">
        <v>7</v>
      </c>
      <c r="H191" s="844">
        <v>44</v>
      </c>
    </row>
    <row r="192" spans="2:8" ht="15" customHeight="1">
      <c r="B192" s="188" t="s">
        <v>50</v>
      </c>
      <c r="C192" s="238">
        <v>159</v>
      </c>
      <c r="D192" s="238">
        <v>139</v>
      </c>
      <c r="E192" s="238">
        <v>533</v>
      </c>
      <c r="F192" s="238">
        <v>281</v>
      </c>
      <c r="G192" s="320">
        <v>53</v>
      </c>
      <c r="H192" s="845">
        <v>1173</v>
      </c>
    </row>
    <row r="193" spans="2:13" ht="15" customHeight="1">
      <c r="B193" s="194" t="s">
        <v>51</v>
      </c>
      <c r="C193" s="96">
        <v>0.13207547169811301</v>
      </c>
      <c r="D193" s="96">
        <v>0</v>
      </c>
      <c r="E193" s="96">
        <v>7.5046904315196998E-3</v>
      </c>
      <c r="F193" s="96">
        <v>4.6263345195729499E-2</v>
      </c>
      <c r="G193" s="316">
        <v>0.13207547169811301</v>
      </c>
      <c r="H193" s="848">
        <v>3.7510656436487599E-2</v>
      </c>
    </row>
    <row r="194" spans="2:13" ht="15" customHeight="1">
      <c r="B194" s="195" t="s">
        <v>412</v>
      </c>
      <c r="C194" s="196"/>
      <c r="D194" s="196"/>
      <c r="E194" s="196"/>
      <c r="F194" s="196"/>
      <c r="G194" s="842"/>
      <c r="H194" s="843"/>
    </row>
    <row r="195" spans="2:13" ht="15" customHeight="1">
      <c r="B195" s="191" t="s">
        <v>48</v>
      </c>
      <c r="C195" s="207">
        <v>148</v>
      </c>
      <c r="D195" s="207">
        <v>163</v>
      </c>
      <c r="E195" s="207">
        <v>171</v>
      </c>
      <c r="F195" s="207">
        <v>177</v>
      </c>
      <c r="G195" s="840">
        <v>32</v>
      </c>
      <c r="H195" s="844">
        <v>680</v>
      </c>
    </row>
    <row r="196" spans="2:13" ht="15" customHeight="1">
      <c r="B196" s="188" t="s">
        <v>49</v>
      </c>
      <c r="C196" s="209">
        <v>31</v>
      </c>
      <c r="D196" s="209">
        <v>3</v>
      </c>
      <c r="E196" s="209">
        <v>11</v>
      </c>
      <c r="F196" s="209">
        <v>0</v>
      </c>
      <c r="G196" s="838">
        <v>5</v>
      </c>
      <c r="H196" s="845">
        <v>57</v>
      </c>
    </row>
    <row r="197" spans="2:13" ht="15" customHeight="1">
      <c r="B197" s="191" t="s">
        <v>50</v>
      </c>
      <c r="C197" s="207">
        <v>179</v>
      </c>
      <c r="D197" s="207">
        <v>166</v>
      </c>
      <c r="E197" s="207">
        <v>182</v>
      </c>
      <c r="F197" s="207">
        <v>177</v>
      </c>
      <c r="G197" s="840">
        <v>37</v>
      </c>
      <c r="H197" s="844">
        <v>737</v>
      </c>
      <c r="I197" s="328"/>
      <c r="J197" s="328"/>
      <c r="K197" s="328"/>
      <c r="L197" s="328"/>
    </row>
    <row r="198" spans="2:13" ht="15" customHeight="1">
      <c r="B198" s="202" t="s">
        <v>51</v>
      </c>
      <c r="C198" s="101">
        <v>0.17318435754189901</v>
      </c>
      <c r="D198" s="101">
        <v>1.8072289156626498E-2</v>
      </c>
      <c r="E198" s="101">
        <v>6.0439560439560398E-2</v>
      </c>
      <c r="F198" s="101">
        <v>0</v>
      </c>
      <c r="G198" s="317">
        <v>0.135135135135135</v>
      </c>
      <c r="H198" s="846">
        <v>7.7340569877883306E-2</v>
      </c>
      <c r="I198" s="328"/>
      <c r="J198" s="328"/>
      <c r="K198" s="328"/>
      <c r="L198" s="328"/>
    </row>
    <row r="199" spans="2:13" ht="15" customHeight="1">
      <c r="B199" s="185" t="s">
        <v>413</v>
      </c>
      <c r="C199" s="186"/>
      <c r="D199" s="186"/>
      <c r="E199" s="186"/>
      <c r="F199" s="186"/>
      <c r="G199" s="836"/>
      <c r="H199" s="847"/>
      <c r="I199" s="328"/>
      <c r="J199" s="328"/>
      <c r="K199" s="328"/>
      <c r="L199" s="328"/>
    </row>
    <row r="200" spans="2:13" ht="15" customHeight="1">
      <c r="B200" s="188" t="s">
        <v>48</v>
      </c>
      <c r="C200" s="238">
        <v>2740</v>
      </c>
      <c r="D200" s="238">
        <v>2382</v>
      </c>
      <c r="E200" s="238">
        <v>8397</v>
      </c>
      <c r="F200" s="238">
        <v>3520</v>
      </c>
      <c r="G200" s="320">
        <v>1084</v>
      </c>
      <c r="H200" s="845">
        <v>18124</v>
      </c>
      <c r="I200" s="328"/>
      <c r="J200" s="328"/>
      <c r="K200" s="328"/>
      <c r="L200" s="328"/>
    </row>
    <row r="201" spans="2:13" ht="15" customHeight="1">
      <c r="B201" s="191" t="s">
        <v>49</v>
      </c>
      <c r="C201" s="241">
        <v>803</v>
      </c>
      <c r="D201" s="241">
        <v>136</v>
      </c>
      <c r="E201" s="241">
        <v>743</v>
      </c>
      <c r="F201" s="241">
        <v>592</v>
      </c>
      <c r="G201" s="321">
        <v>486</v>
      </c>
      <c r="H201" s="844">
        <v>2751</v>
      </c>
      <c r="I201" s="328"/>
      <c r="J201" s="328"/>
      <c r="K201" s="328"/>
      <c r="L201" s="328"/>
    </row>
    <row r="202" spans="2:13" ht="15" customHeight="1">
      <c r="B202" s="188" t="s">
        <v>50</v>
      </c>
      <c r="C202" s="238">
        <v>3620</v>
      </c>
      <c r="D202" s="238">
        <v>2542</v>
      </c>
      <c r="E202" s="238">
        <v>9226</v>
      </c>
      <c r="F202" s="238">
        <v>4167</v>
      </c>
      <c r="G202" s="320">
        <v>1590</v>
      </c>
      <c r="H202" s="845">
        <v>21138</v>
      </c>
      <c r="I202" s="328"/>
      <c r="J202" s="328"/>
      <c r="K202" s="328"/>
      <c r="L202" s="328"/>
    </row>
    <row r="203" spans="2:13" ht="15" customHeight="1">
      <c r="B203" s="194" t="s">
        <v>51</v>
      </c>
      <c r="C203" s="96">
        <v>0.22182320441988901</v>
      </c>
      <c r="D203" s="96">
        <v>5.3501180173092099E-2</v>
      </c>
      <c r="E203" s="96">
        <v>8.05332755256883E-2</v>
      </c>
      <c r="F203" s="96">
        <v>0.14206863450923901</v>
      </c>
      <c r="G203" s="316">
        <v>0.305660377358491</v>
      </c>
      <c r="H203" s="848">
        <v>0.13014476298609101</v>
      </c>
      <c r="I203" s="328"/>
      <c r="J203" s="328"/>
      <c r="K203" s="328"/>
      <c r="L203" s="328"/>
    </row>
    <row r="205" spans="2:13" ht="15.75">
      <c r="B205" s="328"/>
      <c r="C205" s="328"/>
      <c r="D205" s="328"/>
      <c r="E205" s="328"/>
      <c r="F205" s="328"/>
      <c r="G205" s="328"/>
      <c r="H205" s="328"/>
      <c r="I205" s="328"/>
      <c r="J205" s="849"/>
      <c r="K205" s="849"/>
      <c r="L205" s="849"/>
      <c r="M205" s="849"/>
    </row>
    <row r="206" spans="2:13" ht="23.25">
      <c r="B206" s="127" t="s">
        <v>863</v>
      </c>
      <c r="C206" s="850"/>
      <c r="D206" s="850"/>
      <c r="E206" s="850"/>
      <c r="F206" s="850"/>
      <c r="G206" s="850"/>
      <c r="H206" s="850"/>
      <c r="I206" s="850"/>
      <c r="J206" s="715"/>
      <c r="K206" s="715"/>
      <c r="L206" s="715"/>
      <c r="M206" s="715"/>
    </row>
    <row r="207" spans="2:13" ht="15.75">
      <c r="B207" s="778" t="s">
        <v>830</v>
      </c>
      <c r="C207" s="328"/>
      <c r="D207" s="328"/>
      <c r="E207" s="328"/>
      <c r="F207" s="328"/>
      <c r="G207" s="328"/>
      <c r="H207" s="328"/>
      <c r="I207" s="328"/>
      <c r="J207" s="328"/>
      <c r="K207" s="851"/>
      <c r="L207" s="851"/>
      <c r="M207" s="851"/>
    </row>
    <row r="208" spans="2:13" ht="25.5">
      <c r="B208" s="852"/>
      <c r="C208" s="1246" t="s">
        <v>125</v>
      </c>
      <c r="D208" s="1246"/>
      <c r="E208" s="1246"/>
      <c r="F208" s="1247"/>
      <c r="G208" s="853" t="s">
        <v>10</v>
      </c>
      <c r="H208" s="854" t="s">
        <v>58</v>
      </c>
      <c r="I208" s="855" t="s">
        <v>70</v>
      </c>
      <c r="K208" s="856"/>
      <c r="L208" s="856"/>
      <c r="M208" s="856"/>
    </row>
    <row r="209" spans="2:13" ht="66.75" customHeight="1">
      <c r="B209" s="857" t="s">
        <v>879</v>
      </c>
      <c r="C209" s="858" t="s">
        <v>61</v>
      </c>
      <c r="D209" s="858" t="s">
        <v>60</v>
      </c>
      <c r="E209" s="858" t="s">
        <v>59</v>
      </c>
      <c r="F209" s="859" t="s">
        <v>414</v>
      </c>
      <c r="G209" s="858" t="s">
        <v>122</v>
      </c>
      <c r="H209" s="858" t="s">
        <v>639</v>
      </c>
      <c r="I209" s="860" t="s">
        <v>640</v>
      </c>
      <c r="K209" s="856"/>
      <c r="L209" s="856"/>
      <c r="M209" s="856"/>
    </row>
    <row r="210" spans="2:13" ht="15" customHeight="1">
      <c r="B210" s="360" t="s">
        <v>116</v>
      </c>
      <c r="C210" s="726">
        <v>16040</v>
      </c>
      <c r="D210" s="726">
        <v>459</v>
      </c>
      <c r="E210" s="726">
        <v>4158</v>
      </c>
      <c r="F210" s="726">
        <v>300</v>
      </c>
      <c r="G210" s="726">
        <v>770</v>
      </c>
      <c r="H210" s="726">
        <v>349</v>
      </c>
      <c r="I210" s="861">
        <v>22076</v>
      </c>
      <c r="K210" s="856"/>
      <c r="L210" s="856"/>
      <c r="M210" s="856"/>
    </row>
    <row r="211" spans="2:13">
      <c r="B211" s="360" t="s">
        <v>115</v>
      </c>
      <c r="C211" s="728">
        <v>11650</v>
      </c>
      <c r="D211" s="728">
        <v>1161</v>
      </c>
      <c r="E211" s="728">
        <v>3183</v>
      </c>
      <c r="F211" s="728">
        <v>198</v>
      </c>
      <c r="G211" s="728">
        <v>4237</v>
      </c>
      <c r="H211" s="728">
        <v>283</v>
      </c>
      <c r="I211" s="862">
        <v>20712</v>
      </c>
      <c r="K211" s="856"/>
      <c r="L211" s="856"/>
      <c r="M211" s="856"/>
    </row>
    <row r="212" spans="2:13">
      <c r="B212" s="360" t="s">
        <v>117</v>
      </c>
      <c r="C212" s="728">
        <v>4847</v>
      </c>
      <c r="D212" s="728">
        <v>272</v>
      </c>
      <c r="E212" s="728">
        <v>899</v>
      </c>
      <c r="F212" s="728">
        <v>58</v>
      </c>
      <c r="G212" s="728">
        <v>1523</v>
      </c>
      <c r="H212" s="728">
        <v>90</v>
      </c>
      <c r="I212" s="862">
        <v>7689</v>
      </c>
      <c r="K212" s="856"/>
      <c r="L212" s="856"/>
      <c r="M212" s="856"/>
    </row>
    <row r="213" spans="2:13">
      <c r="B213" s="360" t="s">
        <v>119</v>
      </c>
      <c r="C213" s="728">
        <v>3545</v>
      </c>
      <c r="D213" s="728">
        <v>283</v>
      </c>
      <c r="E213" s="728">
        <v>758</v>
      </c>
      <c r="F213" s="728">
        <v>43</v>
      </c>
      <c r="G213" s="728">
        <v>1113</v>
      </c>
      <c r="H213" s="728">
        <v>61</v>
      </c>
      <c r="I213" s="862">
        <v>5803</v>
      </c>
    </row>
    <row r="214" spans="2:13">
      <c r="B214" s="360" t="s">
        <v>121</v>
      </c>
      <c r="C214" s="728">
        <v>475</v>
      </c>
      <c r="D214" s="728">
        <v>735</v>
      </c>
      <c r="E214" s="728">
        <v>342</v>
      </c>
      <c r="F214" s="728">
        <v>13</v>
      </c>
      <c r="G214" s="728">
        <v>2721</v>
      </c>
      <c r="H214" s="728">
        <v>40</v>
      </c>
      <c r="I214" s="862">
        <v>4326</v>
      </c>
    </row>
    <row r="215" spans="2:13">
      <c r="B215" s="360" t="s">
        <v>54</v>
      </c>
      <c r="C215" s="728">
        <v>81</v>
      </c>
      <c r="D215" s="728">
        <v>431</v>
      </c>
      <c r="E215" s="728">
        <v>235</v>
      </c>
      <c r="F215" s="728">
        <v>3</v>
      </c>
      <c r="G215" s="728">
        <v>3110</v>
      </c>
      <c r="H215" s="728">
        <v>53</v>
      </c>
      <c r="I215" s="862">
        <v>3913</v>
      </c>
    </row>
    <row r="216" spans="2:13">
      <c r="B216" s="360" t="s">
        <v>112</v>
      </c>
      <c r="C216" s="728">
        <v>630</v>
      </c>
      <c r="D216" s="728">
        <v>839</v>
      </c>
      <c r="E216" s="728">
        <v>537</v>
      </c>
      <c r="F216" s="728">
        <v>15</v>
      </c>
      <c r="G216" s="728">
        <v>1173</v>
      </c>
      <c r="H216" s="728">
        <v>75</v>
      </c>
      <c r="I216" s="862">
        <v>3269</v>
      </c>
    </row>
    <row r="217" spans="2:13">
      <c r="B217" s="360" t="s">
        <v>97</v>
      </c>
      <c r="C217" s="728">
        <v>1804</v>
      </c>
      <c r="D217" s="728">
        <v>225</v>
      </c>
      <c r="E217" s="728">
        <v>443</v>
      </c>
      <c r="F217" s="728">
        <v>27</v>
      </c>
      <c r="G217" s="728">
        <v>663</v>
      </c>
      <c r="H217" s="728">
        <v>39</v>
      </c>
      <c r="I217" s="862">
        <v>3201</v>
      </c>
    </row>
    <row r="218" spans="2:13">
      <c r="B218" s="360" t="s">
        <v>120</v>
      </c>
      <c r="C218" s="728">
        <v>38</v>
      </c>
      <c r="D218" s="728">
        <v>343</v>
      </c>
      <c r="E218" s="728">
        <v>67</v>
      </c>
      <c r="F218" s="728">
        <v>0</v>
      </c>
      <c r="G218" s="728">
        <v>2192</v>
      </c>
      <c r="H218" s="728">
        <v>22</v>
      </c>
      <c r="I218" s="862">
        <v>2662</v>
      </c>
    </row>
    <row r="219" spans="2:13">
      <c r="B219" s="360" t="s">
        <v>98</v>
      </c>
      <c r="C219" s="728">
        <v>767</v>
      </c>
      <c r="D219" s="728">
        <v>310</v>
      </c>
      <c r="E219" s="728">
        <v>365</v>
      </c>
      <c r="F219" s="728">
        <v>11</v>
      </c>
      <c r="G219" s="728">
        <v>452</v>
      </c>
      <c r="H219" s="728">
        <v>26</v>
      </c>
      <c r="I219" s="862">
        <v>1931</v>
      </c>
    </row>
    <row r="220" spans="2:13" ht="15" customHeight="1">
      <c r="B220" s="863" t="s">
        <v>118</v>
      </c>
      <c r="C220" s="864">
        <v>1128</v>
      </c>
      <c r="D220" s="864">
        <v>0</v>
      </c>
      <c r="E220" s="864">
        <v>89</v>
      </c>
      <c r="F220" s="864">
        <v>33</v>
      </c>
      <c r="G220" s="864">
        <v>0</v>
      </c>
      <c r="H220" s="864">
        <v>0</v>
      </c>
      <c r="I220" s="865">
        <v>1250</v>
      </c>
    </row>
    <row r="221" spans="2:13">
      <c r="B221" s="389" t="s">
        <v>878</v>
      </c>
    </row>
    <row r="223" spans="2:13" ht="23.25">
      <c r="B223" s="127" t="s">
        <v>864</v>
      </c>
      <c r="C223" s="328"/>
      <c r="D223" s="328"/>
      <c r="E223" s="328"/>
      <c r="F223" s="328"/>
      <c r="G223" s="328"/>
      <c r="H223" s="328"/>
      <c r="I223" s="328"/>
    </row>
    <row r="224" spans="2:13" ht="15.75">
      <c r="B224" s="778" t="s">
        <v>62</v>
      </c>
      <c r="C224" s="328"/>
      <c r="D224" s="328"/>
      <c r="E224" s="328"/>
      <c r="F224" s="328"/>
      <c r="G224" s="328"/>
      <c r="H224" s="328"/>
      <c r="I224" s="328"/>
    </row>
    <row r="225" spans="2:10" ht="26.25">
      <c r="B225" s="866" t="s">
        <v>64</v>
      </c>
      <c r="C225" s="867" t="s">
        <v>37</v>
      </c>
      <c r="D225" s="867" t="s">
        <v>38</v>
      </c>
      <c r="E225" s="867" t="s">
        <v>6</v>
      </c>
      <c r="F225" s="868" t="s">
        <v>1</v>
      </c>
      <c r="G225" s="869" t="s">
        <v>7</v>
      </c>
      <c r="H225" s="869" t="s">
        <v>65</v>
      </c>
      <c r="I225" s="869" t="s">
        <v>8</v>
      </c>
    </row>
    <row r="226" spans="2:10" ht="15" customHeight="1">
      <c r="B226" s="378" t="s">
        <v>149</v>
      </c>
      <c r="C226" s="870">
        <v>13241</v>
      </c>
      <c r="D226" s="870">
        <v>11345</v>
      </c>
      <c r="E226" s="870">
        <v>24586</v>
      </c>
      <c r="F226" s="871">
        <v>0.31200903564766053</v>
      </c>
      <c r="G226" s="870">
        <v>18265</v>
      </c>
      <c r="H226" s="872">
        <v>6321</v>
      </c>
      <c r="I226" s="873">
        <v>0.34607172187243362</v>
      </c>
    </row>
    <row r="227" spans="2:10" ht="15" customHeight="1">
      <c r="B227" s="381" t="s">
        <v>150</v>
      </c>
      <c r="C227" s="874">
        <v>8561</v>
      </c>
      <c r="D227" s="874">
        <v>8980</v>
      </c>
      <c r="E227" s="874">
        <v>17537</v>
      </c>
      <c r="F227" s="875">
        <v>0.22255358570540235</v>
      </c>
      <c r="G227" s="874">
        <v>17540</v>
      </c>
      <c r="H227" s="876">
        <v>-3</v>
      </c>
      <c r="I227" s="877">
        <v>-1.7103762827822122E-4</v>
      </c>
    </row>
    <row r="228" spans="2:10" ht="15" customHeight="1">
      <c r="B228" s="381" t="s">
        <v>151</v>
      </c>
      <c r="C228" s="874">
        <v>2954</v>
      </c>
      <c r="D228" s="874">
        <v>3013</v>
      </c>
      <c r="E228" s="874">
        <v>5967</v>
      </c>
      <c r="F228" s="875">
        <v>7.5724311222223631E-2</v>
      </c>
      <c r="G228" s="874">
        <v>7696</v>
      </c>
      <c r="H228" s="876">
        <v>-1729</v>
      </c>
      <c r="I228" s="877">
        <v>-0.22466216216216217</v>
      </c>
    </row>
    <row r="229" spans="2:10" ht="15" customHeight="1">
      <c r="B229" s="381" t="s">
        <v>153</v>
      </c>
      <c r="C229" s="874">
        <v>1131</v>
      </c>
      <c r="D229" s="874">
        <v>1225</v>
      </c>
      <c r="E229" s="874">
        <v>2359</v>
      </c>
      <c r="F229" s="875">
        <v>2.9936928133605756E-2</v>
      </c>
      <c r="G229" s="874">
        <v>3286</v>
      </c>
      <c r="H229" s="876">
        <v>-927</v>
      </c>
      <c r="I229" s="877">
        <v>-0.28210590383444917</v>
      </c>
    </row>
    <row r="230" spans="2:10" ht="15" customHeight="1">
      <c r="B230" s="381" t="s">
        <v>152</v>
      </c>
      <c r="C230" s="874">
        <v>216</v>
      </c>
      <c r="D230" s="874">
        <v>275</v>
      </c>
      <c r="E230" s="874">
        <v>499</v>
      </c>
      <c r="F230" s="875">
        <v>6.3325676721785809E-3</v>
      </c>
      <c r="G230" s="874">
        <v>865</v>
      </c>
      <c r="H230" s="876">
        <v>-366</v>
      </c>
      <c r="I230" s="877">
        <v>-0.423121387283237</v>
      </c>
    </row>
    <row r="231" spans="2:10" ht="15" customHeight="1">
      <c r="B231" s="381" t="s">
        <v>154</v>
      </c>
      <c r="C231" s="874">
        <v>454</v>
      </c>
      <c r="D231" s="874">
        <v>501</v>
      </c>
      <c r="E231" s="874">
        <v>962</v>
      </c>
      <c r="F231" s="875">
        <v>1.2208276754781151E-2</v>
      </c>
      <c r="G231" s="874">
        <v>1056</v>
      </c>
      <c r="H231" s="876">
        <v>-94</v>
      </c>
      <c r="I231" s="877">
        <v>-8.9015151515151519E-2</v>
      </c>
    </row>
    <row r="232" spans="2:10" ht="15" customHeight="1">
      <c r="B232" s="381" t="s">
        <v>156</v>
      </c>
      <c r="C232" s="874">
        <v>1145</v>
      </c>
      <c r="D232" s="874">
        <v>1476</v>
      </c>
      <c r="E232" s="874">
        <v>2624</v>
      </c>
      <c r="F232" s="875">
        <v>3.3299914973540276E-2</v>
      </c>
      <c r="G232" s="874">
        <v>2125</v>
      </c>
      <c r="H232" s="876">
        <v>499</v>
      </c>
      <c r="I232" s="877">
        <v>0.23482352941176471</v>
      </c>
    </row>
    <row r="233" spans="2:10" ht="15" customHeight="1">
      <c r="B233" s="381" t="s">
        <v>166</v>
      </c>
      <c r="C233" s="874">
        <v>1815</v>
      </c>
      <c r="D233" s="874">
        <v>1638</v>
      </c>
      <c r="E233" s="874">
        <v>3456</v>
      </c>
      <c r="F233" s="875">
        <v>4.3858424599296945E-2</v>
      </c>
      <c r="G233" s="874">
        <v>3121</v>
      </c>
      <c r="H233" s="876">
        <v>335</v>
      </c>
      <c r="I233" s="877">
        <v>0.10733739186158282</v>
      </c>
    </row>
    <row r="234" spans="2:10" ht="15" customHeight="1">
      <c r="B234" s="381" t="s">
        <v>158</v>
      </c>
      <c r="C234" s="874">
        <v>1314</v>
      </c>
      <c r="D234" s="874">
        <v>1096</v>
      </c>
      <c r="E234" s="874">
        <v>2409</v>
      </c>
      <c r="F234" s="875">
        <v>3.0571453952461327E-2</v>
      </c>
      <c r="G234" s="874">
        <v>1066</v>
      </c>
      <c r="H234" s="876">
        <v>1343</v>
      </c>
      <c r="I234" s="877">
        <v>1.2598499061913695</v>
      </c>
    </row>
    <row r="235" spans="2:10" ht="15" customHeight="1">
      <c r="B235" s="381" t="s">
        <v>164</v>
      </c>
      <c r="C235" s="874">
        <v>30</v>
      </c>
      <c r="D235" s="874">
        <v>30</v>
      </c>
      <c r="E235" s="874">
        <v>66</v>
      </c>
      <c r="F235" s="875">
        <v>8.3757408088935142E-4</v>
      </c>
      <c r="G235" s="874">
        <v>43</v>
      </c>
      <c r="H235" s="876">
        <v>23</v>
      </c>
      <c r="I235" s="877">
        <v>0.53488372093023251</v>
      </c>
    </row>
    <row r="236" spans="2:10" ht="15" customHeight="1">
      <c r="B236" s="381" t="s">
        <v>155</v>
      </c>
      <c r="C236" s="874">
        <v>363</v>
      </c>
      <c r="D236" s="874">
        <v>432</v>
      </c>
      <c r="E236" s="874">
        <v>794</v>
      </c>
      <c r="F236" s="875">
        <v>1.007627000342644E-2</v>
      </c>
      <c r="G236" s="874">
        <v>593</v>
      </c>
      <c r="H236" s="876">
        <v>201</v>
      </c>
      <c r="I236" s="877">
        <v>0.33895446880269814</v>
      </c>
    </row>
    <row r="237" spans="2:10" ht="15" customHeight="1">
      <c r="B237" s="381" t="s">
        <v>162</v>
      </c>
      <c r="C237" s="874">
        <v>219</v>
      </c>
      <c r="D237" s="874">
        <v>261</v>
      </c>
      <c r="E237" s="874">
        <v>474</v>
      </c>
      <c r="F237" s="875">
        <v>6.0153047627507965E-3</v>
      </c>
      <c r="G237" s="874">
        <v>365</v>
      </c>
      <c r="H237" s="876">
        <v>109</v>
      </c>
      <c r="I237" s="877">
        <v>0.29863013698630136</v>
      </c>
      <c r="J237" s="328"/>
    </row>
    <row r="238" spans="2:10" ht="15" customHeight="1">
      <c r="B238" s="381" t="s">
        <v>157</v>
      </c>
      <c r="C238" s="874">
        <v>456</v>
      </c>
      <c r="D238" s="874">
        <v>436</v>
      </c>
      <c r="E238" s="874">
        <v>888</v>
      </c>
      <c r="F238" s="875">
        <v>1.1269178542874909E-2</v>
      </c>
      <c r="G238" s="874">
        <v>1155</v>
      </c>
      <c r="H238" s="876">
        <v>-267</v>
      </c>
      <c r="I238" s="877">
        <v>-0.23116883116883116</v>
      </c>
      <c r="J238" s="328"/>
    </row>
    <row r="239" spans="2:10" ht="15" customHeight="1">
      <c r="B239" s="381" t="s">
        <v>161</v>
      </c>
      <c r="C239" s="874">
        <v>884</v>
      </c>
      <c r="D239" s="874">
        <v>647</v>
      </c>
      <c r="E239" s="874">
        <v>1535</v>
      </c>
      <c r="F239" s="875">
        <v>1.9479942638865974E-2</v>
      </c>
      <c r="G239" s="874">
        <v>1092</v>
      </c>
      <c r="H239" s="876">
        <v>443</v>
      </c>
      <c r="I239" s="877">
        <v>0.40567765567765568</v>
      </c>
      <c r="J239" s="328"/>
    </row>
    <row r="240" spans="2:10" ht="15" customHeight="1">
      <c r="B240" s="381" t="s">
        <v>160</v>
      </c>
      <c r="C240" s="874">
        <v>193</v>
      </c>
      <c r="D240" s="874">
        <v>138</v>
      </c>
      <c r="E240" s="874">
        <v>336</v>
      </c>
      <c r="F240" s="875">
        <v>4.264013502709425E-3</v>
      </c>
      <c r="G240" s="874">
        <v>154</v>
      </c>
      <c r="H240" s="876">
        <v>182</v>
      </c>
      <c r="I240" s="877">
        <v>1.1818181818181819</v>
      </c>
      <c r="J240" s="328"/>
    </row>
    <row r="241" spans="2:10" ht="15" customHeight="1">
      <c r="B241" s="381" t="s">
        <v>163</v>
      </c>
      <c r="C241" s="874">
        <v>109</v>
      </c>
      <c r="D241" s="874">
        <v>135</v>
      </c>
      <c r="E241" s="874">
        <v>250</v>
      </c>
      <c r="F241" s="875">
        <v>3.1726290942778461E-3</v>
      </c>
      <c r="G241" s="874">
        <v>221</v>
      </c>
      <c r="H241" s="876">
        <v>29</v>
      </c>
      <c r="I241" s="877">
        <v>0.13122171945701358</v>
      </c>
      <c r="J241" s="328"/>
    </row>
    <row r="242" spans="2:10" ht="15" customHeight="1">
      <c r="B242" s="381" t="s">
        <v>159</v>
      </c>
      <c r="C242" s="874">
        <v>84</v>
      </c>
      <c r="D242" s="874">
        <v>86</v>
      </c>
      <c r="E242" s="874">
        <v>166</v>
      </c>
      <c r="F242" s="875">
        <v>2.1066257186004899E-3</v>
      </c>
      <c r="G242" s="874">
        <v>177</v>
      </c>
      <c r="H242" s="876">
        <v>-11</v>
      </c>
      <c r="I242" s="877">
        <v>-6.2146892655367235E-2</v>
      </c>
      <c r="J242" s="328"/>
    </row>
    <row r="243" spans="2:10" s="737" customFormat="1" ht="15" customHeight="1">
      <c r="B243" s="878" t="s">
        <v>71</v>
      </c>
      <c r="C243" s="879">
        <v>1830</v>
      </c>
      <c r="D243" s="879">
        <v>1746</v>
      </c>
      <c r="E243" s="879">
        <v>3551</v>
      </c>
      <c r="F243" s="880">
        <v>4.5064023655122527E-2</v>
      </c>
      <c r="G243" s="735">
        <v>3434</v>
      </c>
      <c r="H243" s="735">
        <v>117</v>
      </c>
      <c r="I243" s="881">
        <v>3.4071054164239951E-2</v>
      </c>
      <c r="J243" s="882"/>
    </row>
    <row r="244" spans="2:10" s="737" customFormat="1" ht="15" customHeight="1">
      <c r="B244" s="878" t="s">
        <v>58</v>
      </c>
      <c r="C244" s="883">
        <v>5443</v>
      </c>
      <c r="D244" s="883">
        <v>4896</v>
      </c>
      <c r="E244" s="883">
        <v>10340</v>
      </c>
      <c r="F244" s="880">
        <v>0.13121993933933171</v>
      </c>
      <c r="G244" s="883">
        <v>10675</v>
      </c>
      <c r="H244" s="735">
        <v>-335</v>
      </c>
      <c r="I244" s="881">
        <v>-3.1381733021077281E-2</v>
      </c>
      <c r="J244" s="882"/>
    </row>
    <row r="245" spans="2:10" ht="15" customHeight="1">
      <c r="B245" s="884" t="s">
        <v>72</v>
      </c>
      <c r="C245" s="885">
        <v>40442</v>
      </c>
      <c r="D245" s="885">
        <v>38356</v>
      </c>
      <c r="E245" s="885">
        <v>78799</v>
      </c>
      <c r="F245" s="886">
        <v>1</v>
      </c>
      <c r="G245" s="887">
        <v>72928</v>
      </c>
      <c r="H245" s="888">
        <v>5871</v>
      </c>
      <c r="I245" s="889">
        <v>8.0504058797718298E-2</v>
      </c>
      <c r="J245" s="328"/>
    </row>
    <row r="246" spans="2:10" ht="15.75">
      <c r="B246" s="328"/>
      <c r="C246" s="328"/>
      <c r="D246" s="328"/>
      <c r="E246" s="328"/>
      <c r="F246" s="328"/>
      <c r="H246" s="328"/>
      <c r="I246" s="328"/>
      <c r="J246" s="328"/>
    </row>
    <row r="247" spans="2:10" ht="23.25">
      <c r="B247" s="127" t="s">
        <v>865</v>
      </c>
      <c r="C247" s="328"/>
      <c r="D247" s="328"/>
      <c r="E247" s="328"/>
      <c r="F247" s="328"/>
      <c r="G247" s="328"/>
      <c r="H247" s="328"/>
      <c r="I247" s="328"/>
      <c r="J247" s="328"/>
    </row>
    <row r="248" spans="2:10" ht="15.75">
      <c r="B248" s="778" t="s">
        <v>831</v>
      </c>
      <c r="C248" s="328"/>
      <c r="D248" s="328"/>
      <c r="E248" s="328"/>
      <c r="F248" s="328"/>
      <c r="G248" s="328"/>
      <c r="H248" s="328"/>
      <c r="I248" s="328"/>
      <c r="J248" s="328"/>
    </row>
    <row r="249" spans="2:10" ht="15.75">
      <c r="B249" s="890"/>
      <c r="C249" s="891" t="s">
        <v>14</v>
      </c>
      <c r="D249" s="891"/>
      <c r="E249" s="892"/>
      <c r="F249" s="891" t="s">
        <v>415</v>
      </c>
      <c r="G249" s="891"/>
      <c r="H249" s="891"/>
      <c r="I249" s="891"/>
      <c r="J249" s="892"/>
    </row>
    <row r="250" spans="2:10">
      <c r="B250" s="866" t="s">
        <v>64</v>
      </c>
      <c r="C250" s="867" t="s">
        <v>29</v>
      </c>
      <c r="D250" s="867" t="s">
        <v>67</v>
      </c>
      <c r="E250" s="868" t="s">
        <v>58</v>
      </c>
      <c r="F250" s="867" t="s">
        <v>23</v>
      </c>
      <c r="G250" s="867" t="s">
        <v>24</v>
      </c>
      <c r="H250" s="867" t="s">
        <v>25</v>
      </c>
      <c r="I250" s="867" t="s">
        <v>69</v>
      </c>
      <c r="J250" s="867" t="s">
        <v>27</v>
      </c>
    </row>
    <row r="251" spans="2:10">
      <c r="B251" s="378" t="s">
        <v>149</v>
      </c>
      <c r="C251" s="893">
        <v>18566</v>
      </c>
      <c r="D251" s="893">
        <v>5688</v>
      </c>
      <c r="E251" s="894">
        <v>327</v>
      </c>
      <c r="F251" s="893">
        <v>5011</v>
      </c>
      <c r="G251" s="893">
        <v>3249</v>
      </c>
      <c r="H251" s="893">
        <v>9447</v>
      </c>
      <c r="I251" s="893">
        <v>5444</v>
      </c>
      <c r="J251" s="893">
        <v>1435</v>
      </c>
    </row>
    <row r="252" spans="2:10">
      <c r="B252" s="381" t="s">
        <v>150</v>
      </c>
      <c r="C252" s="895">
        <v>10374</v>
      </c>
      <c r="D252" s="895">
        <v>6885</v>
      </c>
      <c r="E252" s="896">
        <v>280</v>
      </c>
      <c r="F252" s="895">
        <v>3382</v>
      </c>
      <c r="G252" s="895">
        <v>2024</v>
      </c>
      <c r="H252" s="895">
        <v>6202</v>
      </c>
      <c r="I252" s="895">
        <v>4274</v>
      </c>
      <c r="J252" s="895">
        <v>1653</v>
      </c>
    </row>
    <row r="253" spans="2:10">
      <c r="B253" s="381" t="s">
        <v>151</v>
      </c>
      <c r="C253" s="895">
        <v>4428</v>
      </c>
      <c r="D253" s="895">
        <v>1461</v>
      </c>
      <c r="E253" s="896">
        <v>79</v>
      </c>
      <c r="F253" s="895">
        <v>702</v>
      </c>
      <c r="G253" s="895">
        <v>481</v>
      </c>
      <c r="H253" s="895">
        <v>1534</v>
      </c>
      <c r="I253" s="895">
        <v>2162</v>
      </c>
      <c r="J253" s="895">
        <v>1090</v>
      </c>
    </row>
    <row r="254" spans="2:10">
      <c r="B254" s="381" t="s">
        <v>153</v>
      </c>
      <c r="C254" s="895">
        <v>1911</v>
      </c>
      <c r="D254" s="895">
        <v>408</v>
      </c>
      <c r="E254" s="896">
        <v>43</v>
      </c>
      <c r="F254" s="895">
        <v>331</v>
      </c>
      <c r="G254" s="895">
        <v>211</v>
      </c>
      <c r="H254" s="895">
        <v>562</v>
      </c>
      <c r="I254" s="895">
        <v>833</v>
      </c>
      <c r="J254" s="895">
        <v>422</v>
      </c>
    </row>
    <row r="255" spans="2:10">
      <c r="B255" s="381" t="s">
        <v>152</v>
      </c>
      <c r="C255" s="895">
        <v>373</v>
      </c>
      <c r="D255" s="897">
        <v>119</v>
      </c>
      <c r="E255" s="896">
        <v>5</v>
      </c>
      <c r="F255" s="895">
        <v>72</v>
      </c>
      <c r="G255" s="895">
        <v>43</v>
      </c>
      <c r="H255" s="895">
        <v>135</v>
      </c>
      <c r="I255" s="895">
        <v>151</v>
      </c>
      <c r="J255" s="895">
        <v>95</v>
      </c>
    </row>
    <row r="256" spans="2:10">
      <c r="B256" s="381" t="s">
        <v>154</v>
      </c>
      <c r="C256" s="895">
        <v>548</v>
      </c>
      <c r="D256" s="895">
        <v>400</v>
      </c>
      <c r="E256" s="896">
        <v>16</v>
      </c>
      <c r="F256" s="895">
        <v>180</v>
      </c>
      <c r="G256" s="895">
        <v>98</v>
      </c>
      <c r="H256" s="895">
        <v>326</v>
      </c>
      <c r="I256" s="895">
        <v>270</v>
      </c>
      <c r="J256" s="895">
        <v>87</v>
      </c>
    </row>
    <row r="257" spans="2:11">
      <c r="B257" s="381" t="s">
        <v>156</v>
      </c>
      <c r="C257" s="895">
        <v>691</v>
      </c>
      <c r="D257" s="895">
        <v>1890</v>
      </c>
      <c r="E257" s="896">
        <v>38</v>
      </c>
      <c r="F257" s="895">
        <v>399</v>
      </c>
      <c r="G257" s="895">
        <v>277</v>
      </c>
      <c r="H257" s="895">
        <v>1034</v>
      </c>
      <c r="I257" s="895">
        <v>689</v>
      </c>
      <c r="J257" s="895">
        <v>225</v>
      </c>
    </row>
    <row r="258" spans="2:11">
      <c r="B258" s="381" t="s">
        <v>166</v>
      </c>
      <c r="C258" s="895">
        <v>2063</v>
      </c>
      <c r="D258" s="895">
        <v>1302</v>
      </c>
      <c r="E258" s="896">
        <v>87</v>
      </c>
      <c r="F258" s="895">
        <v>788</v>
      </c>
      <c r="G258" s="895">
        <v>433</v>
      </c>
      <c r="H258" s="895">
        <v>1038</v>
      </c>
      <c r="I258" s="895">
        <v>792</v>
      </c>
      <c r="J258" s="895">
        <v>410</v>
      </c>
    </row>
    <row r="259" spans="2:11">
      <c r="B259" s="381" t="s">
        <v>158</v>
      </c>
      <c r="C259" s="895">
        <v>289</v>
      </c>
      <c r="D259" s="895">
        <v>2092</v>
      </c>
      <c r="E259" s="896">
        <v>27</v>
      </c>
      <c r="F259" s="895">
        <v>439</v>
      </c>
      <c r="G259" s="895">
        <v>302</v>
      </c>
      <c r="H259" s="895">
        <v>1396</v>
      </c>
      <c r="I259" s="895">
        <v>224</v>
      </c>
      <c r="J259" s="895">
        <v>50</v>
      </c>
    </row>
    <row r="260" spans="2:11">
      <c r="B260" s="381" t="s">
        <v>164</v>
      </c>
      <c r="C260" s="895">
        <v>57</v>
      </c>
      <c r="D260" s="895">
        <v>0</v>
      </c>
      <c r="E260" s="896">
        <v>5</v>
      </c>
      <c r="F260" s="895">
        <v>19</v>
      </c>
      <c r="G260" s="895">
        <v>8</v>
      </c>
      <c r="H260" s="895">
        <v>17</v>
      </c>
      <c r="I260" s="895">
        <v>8</v>
      </c>
      <c r="J260" s="895">
        <v>8</v>
      </c>
    </row>
    <row r="261" spans="2:11">
      <c r="B261" s="381" t="s">
        <v>155</v>
      </c>
      <c r="C261" s="895">
        <v>392</v>
      </c>
      <c r="D261" s="895">
        <v>387</v>
      </c>
      <c r="E261" s="896">
        <v>12</v>
      </c>
      <c r="F261" s="895">
        <v>206</v>
      </c>
      <c r="G261" s="895">
        <v>97</v>
      </c>
      <c r="H261" s="895">
        <v>288</v>
      </c>
      <c r="I261" s="895">
        <v>162</v>
      </c>
      <c r="J261" s="895">
        <v>40</v>
      </c>
    </row>
    <row r="262" spans="2:11">
      <c r="B262" s="381" t="s">
        <v>162</v>
      </c>
      <c r="C262" s="895">
        <v>194</v>
      </c>
      <c r="D262" s="895">
        <v>271</v>
      </c>
      <c r="E262" s="896">
        <v>14</v>
      </c>
      <c r="F262" s="895">
        <v>85</v>
      </c>
      <c r="G262" s="895">
        <v>63</v>
      </c>
      <c r="H262" s="895">
        <v>152</v>
      </c>
      <c r="I262" s="895">
        <v>130</v>
      </c>
      <c r="J262" s="895">
        <v>53</v>
      </c>
    </row>
    <row r="263" spans="2:11">
      <c r="B263" s="381" t="s">
        <v>157</v>
      </c>
      <c r="C263" s="895">
        <v>571</v>
      </c>
      <c r="D263" s="895">
        <v>307</v>
      </c>
      <c r="E263" s="896">
        <v>13</v>
      </c>
      <c r="F263" s="895">
        <v>67</v>
      </c>
      <c r="G263" s="895">
        <v>47</v>
      </c>
      <c r="H263" s="895">
        <v>226</v>
      </c>
      <c r="I263" s="895">
        <v>340</v>
      </c>
      <c r="J263" s="895">
        <v>219</v>
      </c>
    </row>
    <row r="264" spans="2:11">
      <c r="B264" s="381" t="s">
        <v>161</v>
      </c>
      <c r="C264" s="895">
        <v>317</v>
      </c>
      <c r="D264" s="895">
        <v>1190</v>
      </c>
      <c r="E264" s="896">
        <v>30</v>
      </c>
      <c r="F264" s="895">
        <v>329</v>
      </c>
      <c r="G264" s="895">
        <v>230</v>
      </c>
      <c r="H264" s="895">
        <v>715</v>
      </c>
      <c r="I264" s="895">
        <v>203</v>
      </c>
      <c r="J264" s="895">
        <v>53</v>
      </c>
    </row>
    <row r="265" spans="2:11">
      <c r="B265" s="381" t="s">
        <v>160</v>
      </c>
      <c r="C265" s="895">
        <v>52</v>
      </c>
      <c r="D265" s="895">
        <v>285</v>
      </c>
      <c r="E265" s="896">
        <v>0</v>
      </c>
      <c r="F265" s="895">
        <v>68</v>
      </c>
      <c r="G265" s="895">
        <v>33</v>
      </c>
      <c r="H265" s="895">
        <v>199</v>
      </c>
      <c r="I265" s="895">
        <v>25</v>
      </c>
      <c r="J265" s="895">
        <v>8</v>
      </c>
    </row>
    <row r="266" spans="2:11">
      <c r="B266" s="381" t="s">
        <v>163</v>
      </c>
      <c r="C266" s="895">
        <v>109</v>
      </c>
      <c r="D266" s="895">
        <v>133</v>
      </c>
      <c r="E266" s="896">
        <v>8</v>
      </c>
      <c r="F266" s="895">
        <v>73</v>
      </c>
      <c r="G266" s="895">
        <v>32</v>
      </c>
      <c r="H266" s="895">
        <v>88</v>
      </c>
      <c r="I266" s="895">
        <v>47</v>
      </c>
      <c r="J266" s="895">
        <v>17</v>
      </c>
    </row>
    <row r="267" spans="2:11">
      <c r="B267" s="381" t="s">
        <v>159</v>
      </c>
      <c r="C267" s="895">
        <v>113</v>
      </c>
      <c r="D267" s="895">
        <v>51</v>
      </c>
      <c r="E267" s="896">
        <v>0</v>
      </c>
      <c r="F267" s="895">
        <v>30</v>
      </c>
      <c r="G267" s="895">
        <v>27</v>
      </c>
      <c r="H267" s="895">
        <v>48</v>
      </c>
      <c r="I267" s="895">
        <v>49</v>
      </c>
      <c r="J267" s="895">
        <v>14</v>
      </c>
    </row>
    <row r="268" spans="2:11">
      <c r="B268" s="381" t="s">
        <v>168</v>
      </c>
      <c r="C268" s="895">
        <v>156</v>
      </c>
      <c r="D268" s="895">
        <v>102</v>
      </c>
      <c r="E268" s="896">
        <v>5</v>
      </c>
      <c r="F268" s="895">
        <v>53</v>
      </c>
      <c r="G268" s="895">
        <v>18</v>
      </c>
      <c r="H268" s="895">
        <v>89</v>
      </c>
      <c r="I268" s="895">
        <v>72</v>
      </c>
      <c r="J268" s="895">
        <v>31</v>
      </c>
    </row>
    <row r="269" spans="2:11" ht="15.75">
      <c r="B269" s="381" t="s">
        <v>167</v>
      </c>
      <c r="C269" s="895">
        <v>104</v>
      </c>
      <c r="D269" s="895">
        <v>15</v>
      </c>
      <c r="E269" s="896">
        <v>0</v>
      </c>
      <c r="F269" s="895">
        <v>19</v>
      </c>
      <c r="G269" s="895">
        <v>9</v>
      </c>
      <c r="H269" s="895">
        <v>30</v>
      </c>
      <c r="I269" s="895">
        <v>38</v>
      </c>
      <c r="J269" s="895">
        <v>20</v>
      </c>
      <c r="K269" s="328"/>
    </row>
    <row r="270" spans="2:11" ht="15.95" customHeight="1">
      <c r="B270" s="381" t="s">
        <v>165</v>
      </c>
      <c r="C270" s="895">
        <v>196</v>
      </c>
      <c r="D270" s="895">
        <v>52</v>
      </c>
      <c r="E270" s="896">
        <v>4</v>
      </c>
      <c r="F270" s="895">
        <v>10</v>
      </c>
      <c r="G270" s="895">
        <v>33</v>
      </c>
      <c r="H270" s="895">
        <v>134</v>
      </c>
      <c r="I270" s="895">
        <v>54</v>
      </c>
      <c r="J270" s="895">
        <v>13</v>
      </c>
      <c r="K270" s="898"/>
    </row>
    <row r="271" spans="2:11" ht="15" customHeight="1">
      <c r="B271" s="899" t="s">
        <v>71</v>
      </c>
      <c r="C271" s="900">
        <v>1739</v>
      </c>
      <c r="D271" s="900">
        <v>1146</v>
      </c>
      <c r="E271" s="901">
        <v>39</v>
      </c>
      <c r="F271" s="900">
        <v>547</v>
      </c>
      <c r="G271" s="900">
        <v>425</v>
      </c>
      <c r="H271" s="900">
        <v>1080</v>
      </c>
      <c r="I271" s="900">
        <v>667</v>
      </c>
      <c r="J271" s="901">
        <v>192</v>
      </c>
      <c r="K271" s="898"/>
    </row>
    <row r="272" spans="2:11" s="737" customFormat="1" ht="15" customHeight="1">
      <c r="B272" s="899" t="s">
        <v>58</v>
      </c>
      <c r="C272" s="900">
        <v>1707</v>
      </c>
      <c r="D272" s="900">
        <v>772</v>
      </c>
      <c r="E272" s="901">
        <v>7860</v>
      </c>
      <c r="F272" s="900">
        <v>1740</v>
      </c>
      <c r="G272" s="900">
        <v>1297</v>
      </c>
      <c r="H272" s="900">
        <v>3844</v>
      </c>
      <c r="I272" s="900">
        <v>2525</v>
      </c>
      <c r="J272" s="901">
        <v>937</v>
      </c>
      <c r="K272" s="898"/>
    </row>
    <row r="273" spans="2:11" ht="15" customHeight="1">
      <c r="B273" s="902" t="s">
        <v>72</v>
      </c>
      <c r="C273" s="903" t="s">
        <v>416</v>
      </c>
      <c r="D273" s="903" t="s">
        <v>417</v>
      </c>
      <c r="E273" s="904" t="s">
        <v>418</v>
      </c>
      <c r="F273" s="903" t="s">
        <v>419</v>
      </c>
      <c r="G273" s="903" t="s">
        <v>420</v>
      </c>
      <c r="H273" s="903" t="s">
        <v>421</v>
      </c>
      <c r="I273" s="903" t="s">
        <v>422</v>
      </c>
      <c r="J273" s="904" t="s">
        <v>423</v>
      </c>
      <c r="K273" s="898"/>
    </row>
    <row r="275" spans="2:11" ht="15.75">
      <c r="B275" s="905"/>
      <c r="C275" s="328"/>
      <c r="D275" s="328"/>
      <c r="E275" s="328"/>
      <c r="F275" s="328"/>
      <c r="G275" s="328"/>
      <c r="H275" s="328"/>
      <c r="I275" s="328"/>
      <c r="J275" s="328"/>
      <c r="K275" s="328"/>
    </row>
    <row r="276" spans="2:11" ht="15.75">
      <c r="B276" s="906"/>
      <c r="C276" s="328"/>
      <c r="D276" s="328"/>
      <c r="E276" s="328"/>
      <c r="F276" s="328"/>
      <c r="G276" s="328"/>
      <c r="H276" s="328"/>
      <c r="I276" s="328"/>
      <c r="J276" s="328"/>
      <c r="K276" s="328"/>
    </row>
    <row r="277" spans="2:11" ht="15.75">
      <c r="K277" s="285" t="s">
        <v>642</v>
      </c>
    </row>
    <row r="278" spans="2:11" ht="15.75">
      <c r="B278" s="499" t="s">
        <v>857</v>
      </c>
      <c r="C278" s="500"/>
      <c r="D278" s="500"/>
      <c r="E278" s="500"/>
      <c r="F278" s="500"/>
      <c r="G278" s="500"/>
      <c r="H278" s="500"/>
      <c r="I278" s="500"/>
      <c r="J278" s="501"/>
    </row>
    <row r="279" spans="2:11" ht="15.75">
      <c r="B279" s="502" t="s">
        <v>424</v>
      </c>
      <c r="C279" s="503"/>
      <c r="D279" s="503"/>
      <c r="E279" s="503"/>
      <c r="F279" s="503"/>
      <c r="G279" s="503"/>
      <c r="H279" s="503"/>
      <c r="I279" s="503"/>
      <c r="J279" s="504"/>
    </row>
    <row r="280" spans="2:11" ht="15.75">
      <c r="B280" s="505" t="s">
        <v>824</v>
      </c>
      <c r="C280" s="506"/>
      <c r="D280" s="506"/>
      <c r="E280" s="506"/>
      <c r="F280" s="506"/>
      <c r="G280" s="506"/>
      <c r="H280" s="506"/>
      <c r="I280" s="506"/>
      <c r="J280" s="507"/>
    </row>
  </sheetData>
  <sheetProtection password="C6DE" sheet="1" objects="1" scenarios="1"/>
  <mergeCells count="29">
    <mergeCell ref="C208:F208"/>
    <mergeCell ref="I53:J53"/>
    <mergeCell ref="I54:J54"/>
    <mergeCell ref="I55:J55"/>
    <mergeCell ref="I56:J56"/>
    <mergeCell ref="I57:J57"/>
    <mergeCell ref="I52:J52"/>
    <mergeCell ref="I41:J41"/>
    <mergeCell ref="I42:J42"/>
    <mergeCell ref="I43:J43"/>
    <mergeCell ref="I44:J44"/>
    <mergeCell ref="I45:J45"/>
    <mergeCell ref="I46:J46"/>
    <mergeCell ref="I47:J47"/>
    <mergeCell ref="I48:J48"/>
    <mergeCell ref="I49:J49"/>
    <mergeCell ref="I50:J50"/>
    <mergeCell ref="I51:J51"/>
    <mergeCell ref="I40:J40"/>
    <mergeCell ref="J1:K1"/>
    <mergeCell ref="I31:J31"/>
    <mergeCell ref="I32:J32"/>
    <mergeCell ref="I33:J33"/>
    <mergeCell ref="I34:J34"/>
    <mergeCell ref="I35:J35"/>
    <mergeCell ref="I36:J36"/>
    <mergeCell ref="I37:J37"/>
    <mergeCell ref="I38:J38"/>
    <mergeCell ref="I39:J39"/>
  </mergeCells>
  <hyperlinks>
    <hyperlink ref="K277" location="'3.7 Darwin'!K1" display="Back to top"/>
    <hyperlink ref="J1:K1" location="'Index '!A1" display="Back to Index"/>
  </hyperlinks>
  <pageMargins left="0.7" right="0.7" top="0.75" bottom="0.75" header="0.3" footer="0.3"/>
  <drawing r:id="rId1"/>
  <tableParts count="5">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13</vt:i4>
      </vt:variant>
    </vt:vector>
  </HeadingPairs>
  <TitlesOfParts>
    <vt:vector size="41" baseType="lpstr">
      <vt:lpstr>Index </vt:lpstr>
      <vt:lpstr>Summary</vt:lpstr>
      <vt:lpstr>3.1 Northern Territory</vt:lpstr>
      <vt:lpstr>3.2 Alice Springs</vt:lpstr>
      <vt:lpstr>3.3 Barkly</vt:lpstr>
      <vt:lpstr>3.4 Belyuen</vt:lpstr>
      <vt:lpstr>3.5 Central Desert</vt:lpstr>
      <vt:lpstr>3.6 Coomalie</vt:lpstr>
      <vt:lpstr>3.7 Darwin</vt:lpstr>
      <vt:lpstr>3.8 East Arnhem</vt:lpstr>
      <vt:lpstr>3.9 Katherine</vt:lpstr>
      <vt:lpstr>3.10 Litchfield</vt:lpstr>
      <vt:lpstr>3.11 MacDonnell</vt:lpstr>
      <vt:lpstr>3.12 Palmerston</vt:lpstr>
      <vt:lpstr>3.13 Roper Gulf</vt:lpstr>
      <vt:lpstr>3.14 Tiwi Islands</vt:lpstr>
      <vt:lpstr>3.15 Victoria Daly</vt:lpstr>
      <vt:lpstr>3.16 Wagait</vt:lpstr>
      <vt:lpstr>3.17 West Arnhem</vt:lpstr>
      <vt:lpstr>3.18 West Daly LGA</vt:lpstr>
      <vt:lpstr>Chart 3.1</vt:lpstr>
      <vt:lpstr>Chart 3.2</vt:lpstr>
      <vt:lpstr>Chart 3.3</vt:lpstr>
      <vt:lpstr>Pyramid 3.4</vt:lpstr>
      <vt:lpstr>Appendix A</vt:lpstr>
      <vt:lpstr>Appendix B</vt:lpstr>
      <vt:lpstr>Appendix C</vt:lpstr>
      <vt:lpstr>Appendix D</vt:lpstr>
      <vt:lpstr>'3.11 MacDonnell'!Print_Area</vt:lpstr>
      <vt:lpstr>'3.13 Roper Gulf'!Print_Area</vt:lpstr>
      <vt:lpstr>'3.14 Tiwi Islands'!Print_Area</vt:lpstr>
      <vt:lpstr>'3.15 Victoria Daly'!Print_Area</vt:lpstr>
      <vt:lpstr>'3.16 Wagait'!Print_Area</vt:lpstr>
      <vt:lpstr>'3.17 West Arnhem'!Print_Area</vt:lpstr>
      <vt:lpstr>'3.18 West Daly LGA'!Print_Area</vt:lpstr>
      <vt:lpstr>'3.3 Barkly'!Print_Area</vt:lpstr>
      <vt:lpstr>'3.4 Belyuen'!Print_Area</vt:lpstr>
      <vt:lpstr>'3.5 Central Desert'!Print_Area</vt:lpstr>
      <vt:lpstr>'3.6 Coomalie'!Print_Area</vt:lpstr>
      <vt:lpstr>'3.8 East Arnhem'!Print_Area</vt:lpstr>
      <vt:lpstr>'3.9 Katherine'!Print_Area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Dilli Binadi</cp:lastModifiedBy>
  <cp:lastPrinted>2018-06-22T03:37:00Z</cp:lastPrinted>
  <dcterms:created xsi:type="dcterms:W3CDTF">2018-03-09T00:29:26Z</dcterms:created>
  <dcterms:modified xsi:type="dcterms:W3CDTF">2018-11-21T22:46:07Z</dcterms:modified>
</cp:coreProperties>
</file>